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6950" windowHeight="10590" activeTab="0"/>
  </bookViews>
  <sheets>
    <sheet name="計算用シート" sheetId="1" r:id="rId1"/>
  </sheets>
  <definedNames>
    <definedName name="_xlnm.Print_Area" localSheetId="0">'計算用シート'!$A$2:$H$56</definedName>
  </definedNames>
  <calcPr fullCalcOnLoad="1"/>
</workbook>
</file>

<file path=xl/sharedStrings.xml><?xml version="1.0" encoding="utf-8"?>
<sst xmlns="http://schemas.openxmlformats.org/spreadsheetml/2006/main" count="199" uniqueCount="115">
  <si>
    <t>配管径（mm）</t>
  </si>
  <si>
    <t>冷媒管</t>
  </si>
  <si>
    <t>サイズ</t>
  </si>
  <si>
    <t>保温厚(mm)</t>
  </si>
  <si>
    <t>CV</t>
  </si>
  <si>
    <t>サイズ(m㎡）</t>
  </si>
  <si>
    <t>1C</t>
  </si>
  <si>
    <t>2C</t>
  </si>
  <si>
    <t>3C</t>
  </si>
  <si>
    <t>4C</t>
  </si>
  <si>
    <t>配管1</t>
  </si>
  <si>
    <t>配管2</t>
  </si>
  <si>
    <t>配管3</t>
  </si>
  <si>
    <t>配管4</t>
  </si>
  <si>
    <t>配管5</t>
  </si>
  <si>
    <t>ガス管</t>
  </si>
  <si>
    <t>液管</t>
  </si>
  <si>
    <t>保温材</t>
  </si>
  <si>
    <t>配管6</t>
  </si>
  <si>
    <t>配管7</t>
  </si>
  <si>
    <t>配管8</t>
  </si>
  <si>
    <t>本数</t>
  </si>
  <si>
    <t>外径</t>
  </si>
  <si>
    <t>壁、床の種類</t>
  </si>
  <si>
    <t>厚さ</t>
  </si>
  <si>
    <t>mm</t>
  </si>
  <si>
    <t>70～100</t>
  </si>
  <si>
    <t>100～115</t>
  </si>
  <si>
    <t>115～150</t>
  </si>
  <si>
    <t>150～200</t>
  </si>
  <si>
    <t>200～</t>
  </si>
  <si>
    <t>ガス管径</t>
  </si>
  <si>
    <t>液管径</t>
  </si>
  <si>
    <t>タテ</t>
  </si>
  <si>
    <t>ヨコ</t>
  </si>
  <si>
    <t>面積</t>
  </si>
  <si>
    <r>
      <t>ｍ</t>
    </r>
    <r>
      <rPr>
        <vertAlign val="superscript"/>
        <sz val="11"/>
        <rFont val="ＭＳ Ｐゴシック"/>
        <family val="3"/>
      </rPr>
      <t>2</t>
    </r>
  </si>
  <si>
    <t>最大タテ開口</t>
  </si>
  <si>
    <t>配管径の和</t>
  </si>
  <si>
    <t>ヨコ開口</t>
  </si>
  <si>
    <t>配管大きい方</t>
  </si>
  <si>
    <t>ヨコ配管長さ</t>
  </si>
  <si>
    <t>ブロック</t>
  </si>
  <si>
    <t>標準価格</t>
  </si>
  <si>
    <t>MTKS-BK012</t>
  </si>
  <si>
    <t>MTKS-BK014</t>
  </si>
  <si>
    <t>MTKS-BK016</t>
  </si>
  <si>
    <t>MTKS-BK018</t>
  </si>
  <si>
    <t>MTKS-BK020</t>
  </si>
  <si>
    <t>MTKS-BK022</t>
  </si>
  <si>
    <t>MTKS-BK024</t>
  </si>
  <si>
    <t>L金具</t>
  </si>
  <si>
    <t>MTKS-BL100</t>
  </si>
  <si>
    <t>MTKS-BL115</t>
  </si>
  <si>
    <t>MTKS-BL150</t>
  </si>
  <si>
    <t>MTKS-BL200</t>
  </si>
  <si>
    <t>ブロック角穴用金具</t>
  </si>
  <si>
    <t>MTKS-BZK006</t>
  </si>
  <si>
    <t>MTKS-BZK008</t>
  </si>
  <si>
    <t>MTKS-BZK010</t>
  </si>
  <si>
    <t>MTKS-BZK012</t>
  </si>
  <si>
    <t>MTKS-BZK014</t>
  </si>
  <si>
    <t>MTKS-BZK016</t>
  </si>
  <si>
    <t>MTKS-BZK018</t>
  </si>
  <si>
    <t>MTKS-BZK020</t>
  </si>
  <si>
    <t>MTKS-BZK022</t>
  </si>
  <si>
    <t>MTKS-BZK024</t>
  </si>
  <si>
    <t>占積率</t>
  </si>
  <si>
    <t>ガス管断面積</t>
  </si>
  <si>
    <t>液管断面積</t>
  </si>
  <si>
    <t>使用方法</t>
  </si>
  <si>
    <t>特注</t>
  </si>
  <si>
    <t>ブロック</t>
  </si>
  <si>
    <t>MTKS-BK006</t>
  </si>
  <si>
    <t>MTKS-BK008</t>
  </si>
  <si>
    <t>MTKS-BK010</t>
  </si>
  <si>
    <t>MTKS-BZK026</t>
  </si>
  <si>
    <t>MTKS-BZK028</t>
  </si>
  <si>
    <t>MTKS-BZK030</t>
  </si>
  <si>
    <t>70～100</t>
  </si>
  <si>
    <t>100～115</t>
  </si>
  <si>
    <t>115～150</t>
  </si>
  <si>
    <t>150～200</t>
  </si>
  <si>
    <t>200～</t>
  </si>
  <si>
    <t>mm以上</t>
  </si>
  <si>
    <t>推奨開口寸法</t>
  </si>
  <si>
    <t>ガス管、液管両方を入力するとタテに並べた状態で開口タテ寸法を算出します。</t>
  </si>
  <si>
    <t>CV</t>
  </si>
  <si>
    <t>サイズ</t>
  </si>
  <si>
    <t>1C</t>
  </si>
  <si>
    <t>系統1</t>
  </si>
  <si>
    <t>系統2</t>
  </si>
  <si>
    <t>系統3</t>
  </si>
  <si>
    <t>系統4</t>
  </si>
  <si>
    <t>系統5</t>
  </si>
  <si>
    <t>系統6</t>
  </si>
  <si>
    <t>系統7</t>
  </si>
  <si>
    <t>（直接入力用）</t>
  </si>
  <si>
    <t>水色のセルのみを入力して下さい。リスト選択で冷媒管の外径、</t>
  </si>
  <si>
    <t>保温材厚さ、本数を入力して下さい</t>
  </si>
  <si>
    <t>に分けて入力してください</t>
  </si>
  <si>
    <t>ケーブル（CV)</t>
  </si>
  <si>
    <t>導体サイズ</t>
  </si>
  <si>
    <t>銅線数</t>
  </si>
  <si>
    <t>ケーブル断面積</t>
  </si>
  <si>
    <t>その他(配管)</t>
  </si>
  <si>
    <t>ケーブル(直接入力)</t>
  </si>
  <si>
    <t>開口、製品の選定は異なる可能性があります。</t>
  </si>
  <si>
    <t>(部件名)</t>
  </si>
  <si>
    <t>手入力開口寸法</t>
  </si>
  <si>
    <t>配管9</t>
  </si>
  <si>
    <t>ガス管、液管をヨコ一列で算出する場合はガス管を系統1、液管を系統2、・・・</t>
  </si>
  <si>
    <t>(注意) この選定シートは計算上の目安です。実際に使われる現場状況によって</t>
  </si>
  <si>
    <t>ALCパネル、コンクリート壁</t>
  </si>
  <si>
    <t>100～115</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</si>
</sst>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0_);[Red]\(&quot;¥&quot;#,##0\)"/>
    <numFmt numFmtId="178" formatCode="0.0%"/>
  </numFmts>
  <fonts count="51">
    <font>
      <sz val="11"/>
      <name val="ＭＳ Ｐゴシック"/>
      <family val="3"/>
    </font>
    <font>
      <sz val="11"/>
      <color indexed="8"/>
      <name val="ＭＳ Ｐゴシック"/>
      <family val="3"/>
    </font>
    <font>
      <sz val="10"/>
      <color indexed="8"/>
      <name val="ＭＳ Ｐゴシック"/>
      <family val="3"/>
    </font>
    <font>
      <sz val="6"/>
      <name val="ＭＳ Ｐゴシック"/>
      <family val="3"/>
    </font>
    <font>
      <b/>
      <sz val="10"/>
      <color indexed="8"/>
      <name val="ＭＳ Ｐゴシック"/>
      <family val="3"/>
    </font>
    <font>
      <vertAlign val="superscript"/>
      <sz val="11"/>
      <name val="ＭＳ Ｐゴシック"/>
      <family val="3"/>
    </font>
    <font>
      <sz val="9"/>
      <name val="ＭＳ Ｐゴシック"/>
      <family val="3"/>
    </font>
    <font>
      <b/>
      <sz val="11"/>
      <name val="ＭＳ Ｐゴシック"/>
      <family val="3"/>
    </font>
    <font>
      <b/>
      <sz val="11"/>
      <color indexed="10"/>
      <name val="ＭＳ Ｐゴシック"/>
      <family val="3"/>
    </font>
    <font>
      <b/>
      <sz val="20"/>
      <color indexed="12"/>
      <name val="ＭＳ Ｐゴシック"/>
      <family val="3"/>
    </font>
    <font>
      <sz val="11"/>
      <color indexed="10"/>
      <name val="ＭＳ Ｐゴシック"/>
      <family val="3"/>
    </font>
    <font>
      <sz val="10"/>
      <name val="ＭＳ Ｐゴシック"/>
      <family val="3"/>
    </font>
    <font>
      <sz val="10"/>
      <color indexed="9"/>
      <name val="ＭＳ Ｐゴシック"/>
      <family val="3"/>
    </font>
    <font>
      <sz val="11"/>
      <color indexed="9"/>
      <name val="ＭＳ Ｐゴシック"/>
      <family val="3"/>
    </font>
    <font>
      <b/>
      <sz val="12"/>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Ｐゴシック"/>
      <family val="3"/>
    </font>
    <font>
      <sz val="11"/>
      <color theme="0"/>
      <name val="ＭＳ Ｐゴシック"/>
      <family val="3"/>
    </font>
    <font>
      <b/>
      <sz val="11"/>
      <color rgb="FFFF0000"/>
      <name val="ＭＳ Ｐゴシック"/>
      <family val="3"/>
    </font>
    <font>
      <b/>
      <sz val="12"/>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theme="0" tint="-0.04997999966144562"/>
        <bgColor indexed="64"/>
      </patternFill>
    </fill>
    <fill>
      <patternFill patternType="solid">
        <fgColor rgb="FFCCFFFF"/>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style="medium"/>
    </border>
    <border>
      <left/>
      <right style="thin"/>
      <top/>
      <bottom style="medium"/>
    </border>
    <border>
      <left style="thin"/>
      <right style="thin"/>
      <top/>
      <bottom style="medium"/>
    </border>
    <border>
      <left style="thin"/>
      <right style="medium"/>
      <top/>
      <bottom style="medium"/>
    </border>
    <border>
      <left style="medium"/>
      <right style="medium"/>
      <top/>
      <bottom style="thin"/>
    </border>
    <border>
      <left style="thin"/>
      <right style="thin"/>
      <top/>
      <bottom style="thin"/>
    </border>
    <border>
      <left/>
      <right style="thin"/>
      <top/>
      <bottom style="thin"/>
    </border>
    <border>
      <left style="thin"/>
      <right style="medium"/>
      <top/>
      <bottom style="thin"/>
    </border>
    <border>
      <left style="medium"/>
      <right style="medium"/>
      <top style="thin"/>
      <bottom style="thin"/>
    </border>
    <border>
      <left style="thin"/>
      <right style="thin"/>
      <top style="thin"/>
      <bottom style="thin"/>
    </border>
    <border>
      <left/>
      <right style="thin"/>
      <top style="thin"/>
      <bottom style="thin"/>
    </border>
    <border>
      <left style="thin"/>
      <right style="medium"/>
      <top style="thin"/>
      <bottom style="thin"/>
    </border>
    <border>
      <left style="medium"/>
      <right style="medium"/>
      <top style="thin"/>
      <bottom style="medium"/>
    </border>
    <border>
      <left/>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thin"/>
    </border>
    <border>
      <left style="thin"/>
      <right style="thin"/>
      <top style="thick"/>
      <bottom style="thick"/>
    </border>
    <border>
      <left style="thin"/>
      <right style="thick"/>
      <top style="thick"/>
      <bottom style="thick"/>
    </border>
    <border>
      <left style="thick"/>
      <right style="thick"/>
      <top style="thin"/>
      <bottom style="thin"/>
    </border>
    <border>
      <left style="thick"/>
      <right style="thick"/>
      <top style="thin"/>
      <bottom style="thick"/>
    </border>
    <border>
      <left style="thick"/>
      <right style="thick"/>
      <top/>
      <bottom style="thin"/>
    </border>
    <border>
      <left style="thick"/>
      <right style="thick"/>
      <top style="thick"/>
      <bottom style="thick"/>
    </border>
    <border>
      <left/>
      <right style="thin"/>
      <top style="thick"/>
      <bottom style="thick"/>
    </border>
    <border>
      <left/>
      <right style="thin"/>
      <top/>
      <bottom/>
    </border>
    <border>
      <left style="thin"/>
      <right style="thin"/>
      <top/>
      <bottom/>
    </border>
    <border>
      <left style="thin"/>
      <right style="thin"/>
      <top style="thin"/>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style="thick"/>
      <right style="thin"/>
      <top style="thick"/>
      <bottom style="thick"/>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thin"/>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41">
    <xf numFmtId="0" fontId="0" fillId="0" borderId="0" xfId="0" applyAlignment="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2" fontId="2" fillId="0" borderId="18" xfId="0" applyNumberFormat="1"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2" fontId="2" fillId="0" borderId="22" xfId="0" applyNumberFormat="1"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176" fontId="2" fillId="0" borderId="23" xfId="0" applyNumberFormat="1" applyFont="1" applyBorder="1" applyAlignment="1">
      <alignment horizontal="center" vertical="center"/>
    </xf>
    <xf numFmtId="2" fontId="2" fillId="0" borderId="26" xfId="0" applyNumberFormat="1"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176" fontId="2" fillId="0" borderId="0" xfId="0" applyNumberFormat="1" applyFont="1" applyBorder="1" applyAlignment="1">
      <alignment horizontal="center" vertical="center"/>
    </xf>
    <xf numFmtId="0" fontId="0" fillId="0" borderId="23" xfId="0" applyBorder="1" applyAlignment="1">
      <alignment vertical="center"/>
    </xf>
    <xf numFmtId="0" fontId="0" fillId="0" borderId="0" xfId="0" applyFill="1" applyBorder="1" applyAlignment="1">
      <alignment vertical="center"/>
    </xf>
    <xf numFmtId="0" fontId="0" fillId="0" borderId="19" xfId="0" applyBorder="1" applyAlignment="1">
      <alignment vertical="center"/>
    </xf>
    <xf numFmtId="176" fontId="2" fillId="0" borderId="19" xfId="0" applyNumberFormat="1" applyFont="1" applyBorder="1" applyAlignment="1">
      <alignment horizontal="center" vertical="center"/>
    </xf>
    <xf numFmtId="176" fontId="2" fillId="0" borderId="24" xfId="0" applyNumberFormat="1" applyFont="1" applyBorder="1" applyAlignment="1">
      <alignment horizontal="center" vertical="center"/>
    </xf>
    <xf numFmtId="176" fontId="2" fillId="0" borderId="20" xfId="0" applyNumberFormat="1" applyFont="1" applyBorder="1" applyAlignment="1">
      <alignment horizontal="center" vertical="center"/>
    </xf>
    <xf numFmtId="2" fontId="2" fillId="0" borderId="30" xfId="0" applyNumberFormat="1"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0" fillId="0" borderId="23" xfId="0" applyBorder="1" applyAlignment="1">
      <alignment vertical="center" shrinkToFit="1"/>
    </xf>
    <xf numFmtId="177" fontId="0" fillId="0" borderId="23" xfId="0" applyNumberFormat="1" applyBorder="1" applyAlignment="1">
      <alignment vertical="center" shrinkToFit="1"/>
    </xf>
    <xf numFmtId="177" fontId="0" fillId="0" borderId="23" xfId="0" applyNumberFormat="1" applyFill="1" applyBorder="1" applyAlignment="1">
      <alignment vertical="center" shrinkToFit="1"/>
    </xf>
    <xf numFmtId="0" fontId="0" fillId="0" borderId="0" xfId="0" applyAlignment="1">
      <alignment vertical="center" shrinkToFit="1"/>
    </xf>
    <xf numFmtId="0" fontId="6" fillId="0" borderId="23" xfId="0" applyFont="1" applyBorder="1" applyAlignment="1">
      <alignment vertical="center" shrinkToFit="1"/>
    </xf>
    <xf numFmtId="0" fontId="2" fillId="0" borderId="0" xfId="0" applyFont="1" applyFill="1" applyBorder="1" applyAlignment="1">
      <alignment horizontal="center" vertical="center"/>
    </xf>
    <xf numFmtId="0" fontId="0" fillId="33" borderId="23" xfId="0" applyFill="1" applyBorder="1" applyAlignment="1">
      <alignment vertical="center" shrinkToFit="1"/>
    </xf>
    <xf numFmtId="0" fontId="0" fillId="33" borderId="23" xfId="0" applyFill="1" applyBorder="1" applyAlignment="1">
      <alignment vertical="center"/>
    </xf>
    <xf numFmtId="0" fontId="7" fillId="34" borderId="23" xfId="0" applyFont="1" applyFill="1" applyBorder="1" applyAlignment="1">
      <alignment vertical="center"/>
    </xf>
    <xf numFmtId="0" fontId="7" fillId="34" borderId="23" xfId="0" applyNumberFormat="1" applyFont="1" applyFill="1" applyBorder="1" applyAlignment="1">
      <alignment vertical="center"/>
    </xf>
    <xf numFmtId="5" fontId="7" fillId="34" borderId="23" xfId="0" applyNumberFormat="1" applyFont="1" applyFill="1" applyBorder="1" applyAlignment="1">
      <alignment vertical="center"/>
    </xf>
    <xf numFmtId="178" fontId="8" fillId="34" borderId="23" xfId="0" applyNumberFormat="1" applyFont="1" applyFill="1" applyBorder="1" applyAlignment="1">
      <alignment vertical="center"/>
    </xf>
    <xf numFmtId="0" fontId="8" fillId="0" borderId="0" xfId="0" applyFont="1" applyAlignment="1">
      <alignment vertical="center"/>
    </xf>
    <xf numFmtId="0" fontId="10" fillId="0" borderId="0" xfId="0" applyFont="1" applyAlignment="1">
      <alignment vertical="center"/>
    </xf>
    <xf numFmtId="0" fontId="7" fillId="34" borderId="19" xfId="0" applyFont="1" applyFill="1" applyBorder="1" applyAlignment="1">
      <alignment vertical="center"/>
    </xf>
    <xf numFmtId="0" fontId="9" fillId="0" borderId="0" xfId="0" applyFont="1" applyAlignment="1">
      <alignment vertical="center"/>
    </xf>
    <xf numFmtId="0" fontId="7" fillId="0" borderId="0" xfId="0" applyFont="1" applyAlignment="1">
      <alignment vertical="center"/>
    </xf>
    <xf numFmtId="0" fontId="47" fillId="0" borderId="0" xfId="0" applyFont="1" applyFill="1" applyBorder="1" applyAlignment="1">
      <alignment horizontal="center" vertical="center"/>
    </xf>
    <xf numFmtId="0" fontId="48" fillId="0" borderId="0" xfId="0" applyFont="1" applyBorder="1" applyAlignment="1">
      <alignment vertical="center"/>
    </xf>
    <xf numFmtId="0" fontId="48" fillId="0" borderId="0" xfId="0" applyFont="1" applyBorder="1" applyAlignment="1">
      <alignment vertical="center" shrinkToFit="1"/>
    </xf>
    <xf numFmtId="177" fontId="48" fillId="0" borderId="0" xfId="0" applyNumberFormat="1" applyFont="1" applyBorder="1" applyAlignment="1">
      <alignment vertical="center" shrinkToFit="1"/>
    </xf>
    <xf numFmtId="0" fontId="0" fillId="0" borderId="0" xfId="0" applyFont="1" applyBorder="1" applyAlignment="1">
      <alignment vertical="center"/>
    </xf>
    <xf numFmtId="0" fontId="0" fillId="0" borderId="0" xfId="0" applyFont="1" applyBorder="1" applyAlignment="1">
      <alignment vertical="center" shrinkToFit="1"/>
    </xf>
    <xf numFmtId="0" fontId="11" fillId="0" borderId="0" xfId="0" applyFont="1" applyFill="1" applyBorder="1" applyAlignment="1">
      <alignment horizontal="center" vertical="center"/>
    </xf>
    <xf numFmtId="177" fontId="0" fillId="0" borderId="0" xfId="0" applyNumberFormat="1" applyFont="1" applyBorder="1" applyAlignment="1">
      <alignment vertical="center" shrinkToFit="1"/>
    </xf>
    <xf numFmtId="0" fontId="47" fillId="0" borderId="0" xfId="0" applyFont="1" applyAlignment="1">
      <alignment horizontal="center" vertical="center"/>
    </xf>
    <xf numFmtId="0" fontId="0" fillId="35" borderId="23" xfId="0" applyFill="1" applyBorder="1" applyAlignment="1" applyProtection="1">
      <alignment vertical="center"/>
      <protection locked="0"/>
    </xf>
    <xf numFmtId="0" fontId="0" fillId="34" borderId="23" xfId="0" applyNumberFormat="1" applyFill="1" applyBorder="1" applyAlignment="1">
      <alignment horizontal="right" vertical="center"/>
    </xf>
    <xf numFmtId="0" fontId="47" fillId="0" borderId="0" xfId="0" applyFont="1" applyBorder="1" applyAlignment="1">
      <alignment horizontal="center" vertical="center"/>
    </xf>
    <xf numFmtId="0" fontId="0" fillId="35" borderId="23" xfId="0" applyFill="1" applyBorder="1" applyAlignment="1" applyProtection="1">
      <alignment horizontal="center" vertical="center"/>
      <protection locked="0"/>
    </xf>
    <xf numFmtId="0" fontId="0" fillId="36" borderId="23" xfId="0" applyFill="1"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7" fillId="0" borderId="0" xfId="0" applyFont="1" applyFill="1" applyBorder="1" applyAlignment="1">
      <alignment vertical="center"/>
    </xf>
    <xf numFmtId="5" fontId="7" fillId="0" borderId="0" xfId="0" applyNumberFormat="1" applyFont="1" applyFill="1" applyBorder="1" applyAlignment="1">
      <alignment vertical="center"/>
    </xf>
    <xf numFmtId="0" fontId="0" fillId="0" borderId="0" xfId="0" applyFill="1" applyAlignment="1">
      <alignment vertical="center"/>
    </xf>
    <xf numFmtId="178" fontId="8" fillId="0" borderId="0" xfId="0" applyNumberFormat="1" applyFont="1" applyFill="1" applyBorder="1" applyAlignment="1">
      <alignment vertical="center"/>
    </xf>
    <xf numFmtId="0" fontId="8" fillId="0" borderId="0" xfId="0" applyFont="1" applyFill="1" applyAlignment="1">
      <alignment vertical="center"/>
    </xf>
    <xf numFmtId="0" fontId="0" fillId="0" borderId="19" xfId="0" applyBorder="1" applyAlignment="1">
      <alignment horizontal="center" vertical="center"/>
    </xf>
    <xf numFmtId="0" fontId="49" fillId="0" borderId="0" xfId="0" applyFont="1" applyAlignment="1">
      <alignment vertical="center"/>
    </xf>
    <xf numFmtId="0" fontId="0" fillId="36" borderId="19" xfId="0" applyFill="1" applyBorder="1" applyAlignment="1">
      <alignment vertical="center" shrinkToFit="1"/>
    </xf>
    <xf numFmtId="0" fontId="0" fillId="36" borderId="23" xfId="0" applyFill="1" applyBorder="1" applyAlignment="1">
      <alignment vertical="center" shrinkToFit="1"/>
    </xf>
    <xf numFmtId="0" fontId="0" fillId="0" borderId="0" xfId="0" applyFill="1" applyBorder="1" applyAlignment="1">
      <alignment vertical="center" shrinkToFit="1"/>
    </xf>
    <xf numFmtId="0" fontId="0" fillId="37" borderId="23" xfId="0" applyFill="1" applyBorder="1" applyAlignment="1" applyProtection="1">
      <alignment horizontal="center" vertical="center"/>
      <protection locked="0"/>
    </xf>
    <xf numFmtId="0" fontId="50" fillId="0" borderId="0" xfId="0" applyFont="1" applyAlignment="1">
      <alignment vertical="center"/>
    </xf>
    <xf numFmtId="0" fontId="0" fillId="0" borderId="0" xfId="0" applyAlignment="1" applyProtection="1">
      <alignment vertical="center"/>
      <protection/>
    </xf>
    <xf numFmtId="177" fontId="0" fillId="0" borderId="39" xfId="0" applyNumberFormat="1" applyFill="1" applyBorder="1" applyAlignment="1">
      <alignment vertical="center" shrinkToFit="1"/>
    </xf>
    <xf numFmtId="0" fontId="0" fillId="35" borderId="40" xfId="0" applyFill="1" applyBorder="1" applyAlignment="1" applyProtection="1">
      <alignment horizontal="center" vertical="center"/>
      <protection locked="0"/>
    </xf>
    <xf numFmtId="0" fontId="0" fillId="0" borderId="23" xfId="0" applyBorder="1" applyAlignment="1">
      <alignment horizontal="center" vertical="center"/>
    </xf>
    <xf numFmtId="0" fontId="0" fillId="36" borderId="23" xfId="0" applyFill="1" applyBorder="1" applyAlignment="1">
      <alignment horizontal="center" vertical="center"/>
    </xf>
    <xf numFmtId="0" fontId="0" fillId="36" borderId="23" xfId="0" applyFill="1" applyBorder="1" applyAlignment="1">
      <alignment horizontal="center" vertical="center" shrinkToFit="1"/>
    </xf>
    <xf numFmtId="0" fontId="0" fillId="36" borderId="23" xfId="0" applyFill="1" applyBorder="1" applyAlignment="1">
      <alignment horizontal="center" vertical="center"/>
    </xf>
    <xf numFmtId="0" fontId="0" fillId="0" borderId="0" xfId="0" applyAlignment="1">
      <alignment horizontal="center" vertical="center"/>
    </xf>
    <xf numFmtId="0" fontId="0" fillId="37" borderId="23" xfId="0" applyFill="1" applyBorder="1" applyAlignment="1">
      <alignment vertical="center"/>
    </xf>
    <xf numFmtId="0" fontId="7" fillId="34" borderId="23" xfId="0" applyFont="1" applyFill="1" applyBorder="1" applyAlignment="1">
      <alignment horizontal="center" vertical="center"/>
    </xf>
    <xf numFmtId="5" fontId="7" fillId="34" borderId="23" xfId="0" applyNumberFormat="1" applyFont="1" applyFill="1" applyBorder="1" applyAlignment="1">
      <alignment horizontal="center" vertical="center"/>
    </xf>
    <xf numFmtId="178" fontId="8" fillId="34" borderId="23" xfId="0" applyNumberFormat="1" applyFont="1" applyFill="1" applyBorder="1" applyAlignment="1">
      <alignment horizontal="center" vertical="center"/>
    </xf>
    <xf numFmtId="0" fontId="0" fillId="37" borderId="23" xfId="0" applyFill="1" applyBorder="1" applyAlignment="1" applyProtection="1">
      <alignment vertical="center"/>
      <protection locked="0"/>
    </xf>
    <xf numFmtId="0" fontId="0" fillId="36" borderId="19" xfId="0" applyFill="1" applyBorder="1" applyAlignment="1">
      <alignment horizontal="center" vertical="center"/>
    </xf>
    <xf numFmtId="0" fontId="7" fillId="28" borderId="23" xfId="0" applyFont="1" applyFill="1" applyBorder="1" applyAlignment="1">
      <alignment horizontal="center" vertical="center"/>
    </xf>
    <xf numFmtId="5" fontId="7" fillId="28" borderId="23" xfId="0" applyNumberFormat="1" applyFont="1" applyFill="1" applyBorder="1" applyAlignment="1">
      <alignment horizontal="center" vertical="center"/>
    </xf>
    <xf numFmtId="178" fontId="8" fillId="28" borderId="23" xfId="0" applyNumberFormat="1" applyFont="1" applyFill="1" applyBorder="1" applyAlignment="1">
      <alignment horizontal="center" vertical="center"/>
    </xf>
    <xf numFmtId="0" fontId="7" fillId="28" borderId="23" xfId="0" applyFont="1" applyFill="1" applyBorder="1" applyAlignment="1">
      <alignment vertical="center"/>
    </xf>
    <xf numFmtId="0" fontId="0" fillId="37" borderId="41" xfId="0" applyFill="1" applyBorder="1" applyAlignment="1" applyProtection="1">
      <alignment vertical="center"/>
      <protection locked="0"/>
    </xf>
    <xf numFmtId="0" fontId="0" fillId="37" borderId="42" xfId="0" applyFill="1" applyBorder="1" applyAlignment="1" applyProtection="1">
      <alignment vertical="center"/>
      <protection locked="0"/>
    </xf>
    <xf numFmtId="0" fontId="0" fillId="37" borderId="43" xfId="0" applyFill="1" applyBorder="1" applyAlignment="1" applyProtection="1">
      <alignment vertical="center"/>
      <protection locked="0"/>
    </xf>
    <xf numFmtId="0" fontId="0" fillId="37" borderId="44" xfId="0" applyFill="1" applyBorder="1" applyAlignment="1" applyProtection="1">
      <alignment vertical="center"/>
      <protection locked="0"/>
    </xf>
    <xf numFmtId="0" fontId="0" fillId="37" borderId="45" xfId="0" applyFill="1" applyBorder="1" applyAlignment="1" applyProtection="1">
      <alignment vertical="center"/>
      <protection locked="0"/>
    </xf>
    <xf numFmtId="0" fontId="0" fillId="37" borderId="20" xfId="0" applyFill="1" applyBorder="1" applyAlignment="1" applyProtection="1">
      <alignment vertical="center"/>
      <protection locked="0"/>
    </xf>
    <xf numFmtId="0" fontId="2" fillId="0" borderId="46"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47" fillId="0" borderId="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4" fillId="0" borderId="0"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0" fillId="35" borderId="40" xfId="0" applyFill="1" applyBorder="1" applyAlignment="1" applyProtection="1">
      <alignment horizontal="center" vertical="center"/>
      <protection locked="0"/>
    </xf>
    <xf numFmtId="0" fontId="0" fillId="35" borderId="19" xfId="0" applyFill="1" applyBorder="1" applyAlignment="1" applyProtection="1">
      <alignment horizontal="center" vertical="center"/>
      <protection locked="0"/>
    </xf>
    <xf numFmtId="0" fontId="0" fillId="35" borderId="23" xfId="0" applyFill="1" applyBorder="1" applyAlignment="1" applyProtection="1">
      <alignment horizontal="center" vertical="center" shrinkToFit="1"/>
      <protection locked="0"/>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0" fillId="36" borderId="23" xfId="0" applyFill="1" applyBorder="1" applyAlignment="1">
      <alignment horizontal="center" vertical="center"/>
    </xf>
    <xf numFmtId="0" fontId="8" fillId="0" borderId="0" xfId="0" applyFont="1" applyAlignment="1">
      <alignment horizontal="left" vertical="center" wrapText="1"/>
    </xf>
    <xf numFmtId="0" fontId="0" fillId="36" borderId="44" xfId="0" applyFill="1" applyBorder="1" applyAlignment="1">
      <alignment horizontal="center" vertical="center"/>
    </xf>
    <xf numFmtId="0" fontId="0" fillId="36" borderId="20" xfId="0" applyFill="1" applyBorder="1" applyAlignment="1">
      <alignment horizontal="center" vertical="center"/>
    </xf>
    <xf numFmtId="0" fontId="0" fillId="36" borderId="55" xfId="0" applyFill="1" applyBorder="1" applyAlignment="1">
      <alignment horizontal="center" vertical="center"/>
    </xf>
    <xf numFmtId="0" fontId="0" fillId="36" borderId="24" xfId="0" applyFill="1" applyBorder="1" applyAlignment="1">
      <alignment horizontal="center" vertical="center"/>
    </xf>
    <xf numFmtId="0" fontId="0" fillId="0" borderId="55" xfId="0" applyBorder="1" applyAlignment="1">
      <alignment horizontal="center" vertical="center"/>
    </xf>
    <xf numFmtId="0" fontId="0" fillId="0" borderId="24" xfId="0" applyBorder="1" applyAlignment="1">
      <alignment horizontal="center" vertical="center"/>
    </xf>
    <xf numFmtId="0" fontId="0" fillId="35" borderId="55" xfId="0" applyFill="1" applyBorder="1" applyAlignment="1" applyProtection="1">
      <alignment horizontal="center" vertical="center"/>
      <protection locked="0"/>
    </xf>
    <xf numFmtId="0" fontId="0" fillId="35" borderId="24" xfId="0" applyFill="1" applyBorder="1" applyAlignment="1" applyProtection="1">
      <alignment horizontal="center" vertical="center"/>
      <protection locked="0"/>
    </xf>
    <xf numFmtId="0" fontId="0" fillId="0" borderId="23"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V93"/>
  <sheetViews>
    <sheetView tabSelected="1" zoomScalePageLayoutView="0" workbookViewId="0" topLeftCell="A1">
      <selection activeCell="E11" sqref="E11"/>
    </sheetView>
  </sheetViews>
  <sheetFormatPr defaultColWidth="9.00390625" defaultRowHeight="13.5"/>
  <cols>
    <col min="1" max="1" width="11.875" style="0" customWidth="1"/>
    <col min="2" max="2" width="9.00390625" style="0" customWidth="1"/>
    <col min="3" max="3" width="8.25390625" style="0" customWidth="1"/>
    <col min="4" max="4" width="8.00390625" style="0" bestFit="1" customWidth="1"/>
    <col min="5" max="6" width="6.375" style="0" customWidth="1"/>
    <col min="7" max="7" width="14.375" style="0" customWidth="1"/>
    <col min="8" max="8" width="14.50390625" style="0" bestFit="1" customWidth="1"/>
    <col min="9" max="9" width="15.75390625" style="0" bestFit="1" customWidth="1"/>
    <col min="10" max="10" width="10.125" style="0" hidden="1" customWidth="1"/>
    <col min="11" max="11" width="5.75390625" style="0" hidden="1" customWidth="1"/>
    <col min="12" max="16" width="9.00390625" style="0" hidden="1" customWidth="1"/>
    <col min="17" max="22" width="9.00390625" style="0" customWidth="1"/>
  </cols>
  <sheetData>
    <row r="2" spans="1:6" ht="13.5">
      <c r="A2" s="102" t="s">
        <v>108</v>
      </c>
      <c r="B2" s="103"/>
      <c r="C2" s="103"/>
      <c r="D2" s="103"/>
      <c r="E2" s="103"/>
      <c r="F2" s="104"/>
    </row>
    <row r="3" spans="1:6" ht="13.5">
      <c r="A3" s="105"/>
      <c r="B3" s="106"/>
      <c r="C3" s="106"/>
      <c r="D3" s="106"/>
      <c r="E3" s="106"/>
      <c r="F3" s="107"/>
    </row>
    <row r="4" spans="4:10" ht="13.5">
      <c r="D4" s="132" t="s">
        <v>85</v>
      </c>
      <c r="E4" s="133"/>
      <c r="F4" s="77"/>
      <c r="G4" s="89" t="s">
        <v>42</v>
      </c>
      <c r="H4" s="90">
        <f>IF(B5="床","床用支持金具",IF(B5="中空壁","L金具",""))</f>
      </c>
      <c r="J4" s="26"/>
    </row>
    <row r="5" spans="1:10" ht="13.5">
      <c r="A5" t="s">
        <v>23</v>
      </c>
      <c r="B5" s="125" t="s">
        <v>113</v>
      </c>
      <c r="C5" s="125"/>
      <c r="D5" s="97" t="s">
        <v>33</v>
      </c>
      <c r="E5" s="53">
        <f>C61</f>
      </c>
      <c r="F5" s="42" t="s">
        <v>84</v>
      </c>
      <c r="G5" s="93">
        <f>E61</f>
      </c>
      <c r="H5" s="93">
        <f>F61</f>
      </c>
      <c r="J5" s="72"/>
    </row>
    <row r="6" spans="1:10" ht="13.5">
      <c r="A6" t="s">
        <v>24</v>
      </c>
      <c r="B6" s="65" t="s">
        <v>114</v>
      </c>
      <c r="C6" s="84" t="s">
        <v>25</v>
      </c>
      <c r="D6" s="88" t="s">
        <v>34</v>
      </c>
      <c r="E6" s="53">
        <f>C62</f>
      </c>
      <c r="F6" s="81" t="s">
        <v>84</v>
      </c>
      <c r="G6" s="94">
        <f>E62</f>
      </c>
      <c r="H6" s="94">
        <f>F62</f>
      </c>
      <c r="J6" s="73"/>
    </row>
    <row r="7" spans="4:10" ht="15" customHeight="1">
      <c r="D7" s="88" t="s">
        <v>35</v>
      </c>
      <c r="E7" s="53">
        <f>C63</f>
      </c>
      <c r="F7" s="42" t="s">
        <v>36</v>
      </c>
      <c r="G7" s="91"/>
      <c r="H7" s="93">
        <f>F63</f>
      </c>
      <c r="J7" s="72"/>
    </row>
    <row r="8" spans="4:22" ht="14.25" thickBot="1">
      <c r="D8" s="51" t="str">
        <f>IF($B$5="床","認定条件：0.75m2以下","認定条件：0.17m2以下")</f>
        <v>認定条件：0.17m2以下</v>
      </c>
      <c r="G8" s="93" t="s">
        <v>67</v>
      </c>
      <c r="H8" s="95">
        <f>F64</f>
      </c>
      <c r="J8" s="74"/>
      <c r="L8" s="126"/>
      <c r="M8" s="126"/>
      <c r="N8" s="126"/>
      <c r="O8" s="126"/>
      <c r="P8" s="126"/>
      <c r="Q8" s="2"/>
      <c r="R8" s="119" t="s">
        <v>0</v>
      </c>
      <c r="S8" s="119"/>
      <c r="T8" s="119"/>
      <c r="U8" s="119"/>
      <c r="V8" s="119"/>
    </row>
    <row r="9" spans="7:22" ht="14.25" thickBot="1">
      <c r="G9" s="51" t="str">
        <f>IF($B$5="床","認定条件：32.9％以下","認定条件：50.7％以下")</f>
        <v>認定条件：50.7％以下</v>
      </c>
      <c r="J9" s="75"/>
      <c r="L9" s="120" t="s">
        <v>1</v>
      </c>
      <c r="M9" s="121"/>
      <c r="N9" s="121"/>
      <c r="O9" s="121"/>
      <c r="P9" s="122"/>
      <c r="Q9" s="2"/>
      <c r="R9" s="127" t="s">
        <v>1</v>
      </c>
      <c r="S9" s="128"/>
      <c r="T9" s="128"/>
      <c r="U9" s="128"/>
      <c r="V9" s="129"/>
    </row>
    <row r="10" spans="4:22" ht="14.25" thickBot="1">
      <c r="D10" s="134" t="s">
        <v>109</v>
      </c>
      <c r="E10" s="135"/>
      <c r="G10" s="89" t="s">
        <v>42</v>
      </c>
      <c r="H10" s="90">
        <f>K60</f>
      </c>
      <c r="J10" s="76"/>
      <c r="L10" s="112" t="s">
        <v>2</v>
      </c>
      <c r="M10" s="114" t="s">
        <v>3</v>
      </c>
      <c r="N10" s="114"/>
      <c r="O10" s="114"/>
      <c r="P10" s="115"/>
      <c r="Q10" s="2"/>
      <c r="R10" s="6" t="s">
        <v>2</v>
      </c>
      <c r="S10" s="116" t="s">
        <v>3</v>
      </c>
      <c r="T10" s="117"/>
      <c r="U10" s="117"/>
      <c r="V10" s="118"/>
    </row>
    <row r="11" spans="4:22" ht="14.25" thickBot="1">
      <c r="D11" s="97" t="s">
        <v>33</v>
      </c>
      <c r="E11" s="96"/>
      <c r="F11" s="42" t="s">
        <v>84</v>
      </c>
      <c r="G11" s="98">
        <f>J61</f>
      </c>
      <c r="H11" s="98">
        <f>K61</f>
      </c>
      <c r="L11" s="113"/>
      <c r="M11" s="3">
        <v>8</v>
      </c>
      <c r="N11" s="4">
        <v>10</v>
      </c>
      <c r="O11" s="4">
        <v>15</v>
      </c>
      <c r="P11" s="5">
        <v>20</v>
      </c>
      <c r="Q11" s="64">
        <v>0</v>
      </c>
      <c r="R11" s="7"/>
      <c r="S11" s="8">
        <v>8</v>
      </c>
      <c r="T11" s="9">
        <v>10</v>
      </c>
      <c r="U11" s="9">
        <v>15</v>
      </c>
      <c r="V11" s="10">
        <v>20</v>
      </c>
    </row>
    <row r="12" spans="4:22" ht="13.5">
      <c r="D12" s="88" t="s">
        <v>34</v>
      </c>
      <c r="E12" s="96"/>
      <c r="F12" s="81" t="s">
        <v>84</v>
      </c>
      <c r="G12" s="99">
        <f>J62</f>
      </c>
      <c r="H12" s="99">
        <f>K62</f>
      </c>
      <c r="L12" s="31">
        <v>6.35</v>
      </c>
      <c r="M12" s="30">
        <f>S12*S12*PI()/4</f>
        <v>452.3893421169302</v>
      </c>
      <c r="N12" s="12"/>
      <c r="O12" s="12"/>
      <c r="P12" s="28">
        <f>V12*V12*PI()/4</f>
        <v>1809.5573684677208</v>
      </c>
      <c r="Q12" s="64">
        <v>1</v>
      </c>
      <c r="R12" s="11">
        <v>6.35</v>
      </c>
      <c r="S12" s="13">
        <v>24</v>
      </c>
      <c r="T12" s="12"/>
      <c r="U12" s="12"/>
      <c r="V12" s="14">
        <v>48</v>
      </c>
    </row>
    <row r="13" spans="4:22" ht="15" customHeight="1">
      <c r="D13" s="88" t="s">
        <v>35</v>
      </c>
      <c r="E13" s="101">
        <f>H63</f>
      </c>
      <c r="F13" s="42" t="s">
        <v>36</v>
      </c>
      <c r="G13" s="91"/>
      <c r="H13" s="98">
        <f>K63</f>
      </c>
      <c r="L13" s="15">
        <v>9.52</v>
      </c>
      <c r="M13" s="30">
        <f>S13*S13*PI()/4</f>
        <v>572.5552611167398</v>
      </c>
      <c r="N13" s="16"/>
      <c r="O13" s="16"/>
      <c r="P13" s="28">
        <f aca="true" t="shared" si="0" ref="P13:P26">V13*V13*PI()/4</f>
        <v>2042.820622996763</v>
      </c>
      <c r="Q13" s="64">
        <v>2</v>
      </c>
      <c r="R13" s="15">
        <v>9.52</v>
      </c>
      <c r="S13" s="17">
        <v>27</v>
      </c>
      <c r="T13" s="16"/>
      <c r="U13" s="16"/>
      <c r="V13" s="18">
        <v>51</v>
      </c>
    </row>
    <row r="14" spans="4:22" ht="13.5">
      <c r="D14" s="51" t="str">
        <f>IF($B$5="床","認定条件：0.75m2以下","認定条件：0.17m2以下")</f>
        <v>認定条件：0.17m2以下</v>
      </c>
      <c r="G14" s="93" t="s">
        <v>67</v>
      </c>
      <c r="H14" s="100">
        <f>K64</f>
      </c>
      <c r="L14" s="15">
        <v>12.7</v>
      </c>
      <c r="M14" s="17"/>
      <c r="N14" s="19">
        <f>T14*T14*PI()/4</f>
        <v>907.9202768874502</v>
      </c>
      <c r="O14" s="16"/>
      <c r="P14" s="28">
        <f t="shared" si="0"/>
        <v>2290.221044466959</v>
      </c>
      <c r="Q14" s="64">
        <v>3</v>
      </c>
      <c r="R14" s="15">
        <v>12.7</v>
      </c>
      <c r="S14" s="17"/>
      <c r="T14" s="16">
        <v>34</v>
      </c>
      <c r="U14" s="16"/>
      <c r="V14" s="18">
        <v>54</v>
      </c>
    </row>
    <row r="15" spans="7:22" ht="13.5">
      <c r="G15" s="51" t="str">
        <f>IF($B$5="床","認定条件：32.9％以下","認定条件：50.7％以下")</f>
        <v>認定条件：50.7％以下</v>
      </c>
      <c r="L15" s="15">
        <v>15.88</v>
      </c>
      <c r="M15" s="17"/>
      <c r="N15" s="19">
        <f aca="true" t="shared" si="1" ref="N15:N24">T15*T15*PI()/4</f>
        <v>1075.2100856911068</v>
      </c>
      <c r="O15" s="16"/>
      <c r="P15" s="28">
        <f t="shared" si="0"/>
        <v>2551.7586328783095</v>
      </c>
      <c r="Q15" s="64">
        <v>4</v>
      </c>
      <c r="R15" s="15">
        <v>15.88</v>
      </c>
      <c r="S15" s="17"/>
      <c r="T15" s="16">
        <v>37</v>
      </c>
      <c r="U15" s="16"/>
      <c r="V15" s="18">
        <v>57</v>
      </c>
    </row>
    <row r="16" spans="7:22" ht="13.5">
      <c r="G16" s="131">
        <f>IF($B$5="床","注意：床用支持金具によりタテ寸法80mm余分に必要です","")</f>
      </c>
      <c r="H16" s="131"/>
      <c r="L16" s="15">
        <v>19.05</v>
      </c>
      <c r="M16" s="17"/>
      <c r="N16" s="19">
        <f t="shared" si="1"/>
        <v>1320.2543126711105</v>
      </c>
      <c r="O16" s="16"/>
      <c r="P16" s="28">
        <f t="shared" si="0"/>
        <v>2922.466566001905</v>
      </c>
      <c r="Q16" s="64">
        <v>5</v>
      </c>
      <c r="R16" s="15">
        <v>19.05</v>
      </c>
      <c r="S16" s="17"/>
      <c r="T16" s="16">
        <v>41</v>
      </c>
      <c r="U16" s="16"/>
      <c r="V16" s="18">
        <v>61</v>
      </c>
    </row>
    <row r="17" spans="1:22" ht="13.5">
      <c r="A17" t="s">
        <v>90</v>
      </c>
      <c r="B17" s="69"/>
      <c r="C17" s="69" t="s">
        <v>22</v>
      </c>
      <c r="D17" s="69" t="s">
        <v>17</v>
      </c>
      <c r="E17" s="69" t="s">
        <v>21</v>
      </c>
      <c r="G17" s="131"/>
      <c r="H17" s="131"/>
      <c r="L17" s="15">
        <v>22.22</v>
      </c>
      <c r="M17" s="17"/>
      <c r="N17" s="19">
        <f t="shared" si="1"/>
        <v>1520.53084433746</v>
      </c>
      <c r="O17" s="16"/>
      <c r="P17" s="28">
        <f t="shared" si="0"/>
        <v>3216.990877275948</v>
      </c>
      <c r="Q17" s="64">
        <v>6</v>
      </c>
      <c r="R17" s="15">
        <v>22.22</v>
      </c>
      <c r="S17" s="17"/>
      <c r="T17" s="16">
        <v>44</v>
      </c>
      <c r="U17" s="16"/>
      <c r="V17" s="18">
        <v>64</v>
      </c>
    </row>
    <row r="18" spans="2:22" ht="13.5">
      <c r="B18" s="69" t="s">
        <v>15</v>
      </c>
      <c r="C18" s="65"/>
      <c r="D18" s="65"/>
      <c r="E18" s="123"/>
      <c r="L18" s="15">
        <v>25.4</v>
      </c>
      <c r="M18" s="17"/>
      <c r="N18" s="19">
        <f t="shared" si="1"/>
        <v>1734.9445429449634</v>
      </c>
      <c r="O18" s="16"/>
      <c r="P18" s="28">
        <f t="shared" si="0"/>
        <v>3525.6523554911455</v>
      </c>
      <c r="Q18" s="64">
        <v>7</v>
      </c>
      <c r="R18" s="15">
        <v>25.4</v>
      </c>
      <c r="S18" s="17"/>
      <c r="T18" s="16">
        <v>47</v>
      </c>
      <c r="U18" s="16"/>
      <c r="V18" s="18">
        <v>67</v>
      </c>
    </row>
    <row r="19" spans="2:22" ht="13.5">
      <c r="B19" s="69" t="s">
        <v>16</v>
      </c>
      <c r="C19" s="65"/>
      <c r="D19" s="65"/>
      <c r="E19" s="124"/>
      <c r="L19" s="15">
        <v>28.58</v>
      </c>
      <c r="M19" s="17"/>
      <c r="N19" s="19">
        <f t="shared" si="1"/>
        <v>1963.4954084936207</v>
      </c>
      <c r="O19" s="16"/>
      <c r="P19" s="28">
        <f t="shared" si="0"/>
        <v>3848.4510006474966</v>
      </c>
      <c r="Q19" s="64">
        <v>8</v>
      </c>
      <c r="R19" s="15">
        <v>28.58</v>
      </c>
      <c r="S19" s="17"/>
      <c r="T19" s="16">
        <v>50</v>
      </c>
      <c r="U19" s="16"/>
      <c r="V19" s="18">
        <v>70</v>
      </c>
    </row>
    <row r="20" spans="12:22" ht="13.5">
      <c r="L20" s="15">
        <v>31.75</v>
      </c>
      <c r="M20" s="17"/>
      <c r="N20" s="19">
        <f t="shared" si="1"/>
        <v>2206.1834409834323</v>
      </c>
      <c r="O20" s="16"/>
      <c r="P20" s="28">
        <f t="shared" si="0"/>
        <v>4185.386812745002</v>
      </c>
      <c r="Q20" s="64">
        <v>9</v>
      </c>
      <c r="R20" s="15">
        <v>31.75</v>
      </c>
      <c r="S20" s="17"/>
      <c r="T20" s="16">
        <v>53</v>
      </c>
      <c r="U20" s="16"/>
      <c r="V20" s="18">
        <v>73</v>
      </c>
    </row>
    <row r="21" spans="1:22" ht="13.5">
      <c r="A21" t="s">
        <v>91</v>
      </c>
      <c r="B21" s="69"/>
      <c r="C21" s="69" t="s">
        <v>22</v>
      </c>
      <c r="D21" s="69" t="s">
        <v>17</v>
      </c>
      <c r="E21" s="69" t="s">
        <v>21</v>
      </c>
      <c r="G21" s="130" t="s">
        <v>101</v>
      </c>
      <c r="H21" s="130"/>
      <c r="L21" s="15">
        <v>34.92</v>
      </c>
      <c r="M21" s="17"/>
      <c r="N21" s="19">
        <f t="shared" si="1"/>
        <v>2551.7586328783095</v>
      </c>
      <c r="O21" s="16"/>
      <c r="P21" s="28">
        <f t="shared" si="0"/>
        <v>4536.459791783661</v>
      </c>
      <c r="Q21" s="64">
        <v>10</v>
      </c>
      <c r="R21" s="15">
        <v>34.92</v>
      </c>
      <c r="S21" s="17"/>
      <c r="T21" s="16">
        <v>57</v>
      </c>
      <c r="U21" s="16"/>
      <c r="V21" s="18">
        <v>76</v>
      </c>
    </row>
    <row r="22" spans="2:22" ht="13.5">
      <c r="B22" s="69" t="s">
        <v>15</v>
      </c>
      <c r="C22" s="65"/>
      <c r="D22" s="65"/>
      <c r="E22" s="123"/>
      <c r="G22" s="79" t="s">
        <v>102</v>
      </c>
      <c r="H22" s="82"/>
      <c r="L22" s="15">
        <v>38.1</v>
      </c>
      <c r="M22" s="17"/>
      <c r="N22" s="19">
        <f t="shared" si="1"/>
        <v>2827.4333882308138</v>
      </c>
      <c r="O22" s="16"/>
      <c r="P22" s="28">
        <f t="shared" si="0"/>
        <v>5026.548245743669</v>
      </c>
      <c r="Q22" s="64"/>
      <c r="R22" s="15">
        <v>38.1</v>
      </c>
      <c r="S22" s="17"/>
      <c r="T22" s="16">
        <v>60</v>
      </c>
      <c r="U22" s="16"/>
      <c r="V22" s="18">
        <v>80</v>
      </c>
    </row>
    <row r="23" spans="2:22" ht="13.5">
      <c r="B23" s="69" t="s">
        <v>16</v>
      </c>
      <c r="C23" s="65"/>
      <c r="D23" s="65"/>
      <c r="E23" s="124"/>
      <c r="G23" s="80" t="s">
        <v>103</v>
      </c>
      <c r="H23" s="82"/>
      <c r="L23" s="15">
        <v>41.25</v>
      </c>
      <c r="M23" s="17"/>
      <c r="N23" s="19">
        <f t="shared" si="1"/>
        <v>3216.990877275948</v>
      </c>
      <c r="O23" s="16"/>
      <c r="P23" s="28">
        <f t="shared" si="0"/>
        <v>5541.769440932395</v>
      </c>
      <c r="Q23" s="64" t="s">
        <v>79</v>
      </c>
      <c r="R23" s="15">
        <v>41.25</v>
      </c>
      <c r="S23" s="17"/>
      <c r="T23" s="16">
        <v>64</v>
      </c>
      <c r="U23" s="16"/>
      <c r="V23" s="18">
        <v>84</v>
      </c>
    </row>
    <row r="24" spans="7:22" ht="13.5">
      <c r="G24" s="80" t="s">
        <v>21</v>
      </c>
      <c r="H24" s="82"/>
      <c r="L24" s="15">
        <v>44.45</v>
      </c>
      <c r="M24" s="17"/>
      <c r="N24" s="19">
        <f t="shared" si="1"/>
        <v>3421.194399759285</v>
      </c>
      <c r="O24" s="16"/>
      <c r="P24" s="28">
        <f t="shared" si="0"/>
        <v>5808.804816487527</v>
      </c>
      <c r="Q24" s="64" t="s">
        <v>80</v>
      </c>
      <c r="R24" s="15">
        <v>44.45</v>
      </c>
      <c r="S24" s="17"/>
      <c r="T24" s="16">
        <v>66</v>
      </c>
      <c r="U24" s="16"/>
      <c r="V24" s="18">
        <v>86</v>
      </c>
    </row>
    <row r="25" spans="1:22" ht="13.5">
      <c r="A25" t="s">
        <v>92</v>
      </c>
      <c r="B25" s="69"/>
      <c r="C25" s="69" t="s">
        <v>22</v>
      </c>
      <c r="D25" s="69" t="s">
        <v>17</v>
      </c>
      <c r="E25" s="69" t="s">
        <v>21</v>
      </c>
      <c r="L25" s="15">
        <v>50.8</v>
      </c>
      <c r="M25" s="17"/>
      <c r="N25" s="16"/>
      <c r="O25" s="19">
        <f>U25*U25*PI()/4</f>
        <v>5410.607947645021</v>
      </c>
      <c r="P25" s="28">
        <f t="shared" si="0"/>
        <v>6792.90871522453</v>
      </c>
      <c r="Q25" s="64" t="s">
        <v>81</v>
      </c>
      <c r="R25" s="15">
        <v>50.8</v>
      </c>
      <c r="S25" s="17"/>
      <c r="T25" s="16"/>
      <c r="U25" s="16">
        <v>83</v>
      </c>
      <c r="V25" s="18">
        <v>93</v>
      </c>
    </row>
    <row r="26" spans="2:22" ht="14.25" thickBot="1">
      <c r="B26" s="69" t="s">
        <v>15</v>
      </c>
      <c r="C26" s="65"/>
      <c r="D26" s="65"/>
      <c r="E26" s="123"/>
      <c r="G26" s="88" t="s">
        <v>101</v>
      </c>
      <c r="H26" s="88"/>
      <c r="L26" s="20">
        <v>53.98</v>
      </c>
      <c r="M26" s="17"/>
      <c r="N26" s="16"/>
      <c r="O26" s="19">
        <f>U26*U26*PI()/4</f>
        <v>5808.804816487527</v>
      </c>
      <c r="P26" s="28">
        <f t="shared" si="0"/>
        <v>7238.229473870883</v>
      </c>
      <c r="Q26" s="64" t="s">
        <v>82</v>
      </c>
      <c r="R26" s="20">
        <v>53.98</v>
      </c>
      <c r="S26" s="21"/>
      <c r="T26" s="22"/>
      <c r="U26" s="22">
        <v>86</v>
      </c>
      <c r="V26" s="23">
        <v>96</v>
      </c>
    </row>
    <row r="27" spans="2:22" ht="13.5">
      <c r="B27" s="69" t="s">
        <v>16</v>
      </c>
      <c r="C27" s="65"/>
      <c r="D27" s="65"/>
      <c r="E27" s="124"/>
      <c r="G27" s="79" t="s">
        <v>102</v>
      </c>
      <c r="H27" s="82"/>
      <c r="L27" s="2"/>
      <c r="M27" s="2"/>
      <c r="N27" s="2"/>
      <c r="O27" s="2"/>
      <c r="P27" s="2"/>
      <c r="Q27" s="64" t="s">
        <v>83</v>
      </c>
      <c r="R27" s="2"/>
      <c r="S27" s="2"/>
      <c r="T27" s="2"/>
      <c r="U27" s="2"/>
      <c r="V27" s="2"/>
    </row>
    <row r="28" spans="7:22" ht="14.25" thickBot="1">
      <c r="G28" s="80" t="s">
        <v>103</v>
      </c>
      <c r="H28" s="82"/>
      <c r="L28" s="1"/>
      <c r="M28" s="24"/>
      <c r="N28" s="1"/>
      <c r="O28" s="1"/>
      <c r="P28" s="2"/>
      <c r="Q28" s="2"/>
      <c r="R28" s="1"/>
      <c r="S28" s="1"/>
      <c r="T28" s="1"/>
      <c r="U28" s="1"/>
      <c r="V28" s="2"/>
    </row>
    <row r="29" spans="1:22" ht="15" thickBot="1" thickTop="1">
      <c r="A29" t="s">
        <v>93</v>
      </c>
      <c r="B29" s="69"/>
      <c r="C29" s="69" t="s">
        <v>22</v>
      </c>
      <c r="D29" s="69" t="s">
        <v>17</v>
      </c>
      <c r="E29" s="69" t="s">
        <v>21</v>
      </c>
      <c r="G29" s="80" t="s">
        <v>21</v>
      </c>
      <c r="H29" s="82"/>
      <c r="L29" s="108" t="s">
        <v>4</v>
      </c>
      <c r="M29" s="109"/>
      <c r="N29" s="109"/>
      <c r="O29" s="109"/>
      <c r="P29" s="110"/>
      <c r="Q29" s="2"/>
      <c r="R29" s="111" t="s">
        <v>87</v>
      </c>
      <c r="S29" s="111"/>
      <c r="T29" s="111"/>
      <c r="U29" s="111"/>
      <c r="V29" s="111"/>
    </row>
    <row r="30" spans="2:22" ht="15" thickBot="1" thickTop="1">
      <c r="B30" s="69" t="s">
        <v>15</v>
      </c>
      <c r="C30" s="65"/>
      <c r="D30" s="65"/>
      <c r="E30" s="123"/>
      <c r="L30" s="37" t="s">
        <v>5</v>
      </c>
      <c r="M30" s="38" t="s">
        <v>6</v>
      </c>
      <c r="N30" s="32" t="s">
        <v>7</v>
      </c>
      <c r="O30" s="32" t="s">
        <v>8</v>
      </c>
      <c r="P30" s="33" t="s">
        <v>9</v>
      </c>
      <c r="Q30" s="2"/>
      <c r="R30" s="67" t="s">
        <v>88</v>
      </c>
      <c r="S30" s="67" t="s">
        <v>89</v>
      </c>
      <c r="T30" s="67" t="s">
        <v>7</v>
      </c>
      <c r="U30" s="67" t="s">
        <v>8</v>
      </c>
      <c r="V30" s="67" t="s">
        <v>9</v>
      </c>
    </row>
    <row r="31" spans="2:22" ht="14.25" thickTop="1">
      <c r="B31" s="69" t="s">
        <v>16</v>
      </c>
      <c r="C31" s="65"/>
      <c r="D31" s="65"/>
      <c r="E31" s="124"/>
      <c r="G31" s="88" t="s">
        <v>101</v>
      </c>
      <c r="H31" s="88"/>
      <c r="L31" s="36">
        <v>2</v>
      </c>
      <c r="M31" s="30">
        <f>S31*S31*PI()/4</f>
        <v>33.18307240354219</v>
      </c>
      <c r="N31" s="28">
        <f>T31*T31*PI()/4</f>
        <v>78.53981633974483</v>
      </c>
      <c r="O31" s="28">
        <f>U31*U31*PI()/4</f>
        <v>95.03317777109125</v>
      </c>
      <c r="P31" s="28">
        <f>V31*V31*PI()/4</f>
        <v>113.09733552923255</v>
      </c>
      <c r="Q31" s="2"/>
      <c r="R31" s="67">
        <v>2</v>
      </c>
      <c r="S31" s="67">
        <v>6.5</v>
      </c>
      <c r="T31" s="67">
        <v>10</v>
      </c>
      <c r="U31" s="67">
        <v>11</v>
      </c>
      <c r="V31" s="67">
        <v>12</v>
      </c>
    </row>
    <row r="32" spans="7:22" ht="13.5">
      <c r="G32" s="79" t="s">
        <v>102</v>
      </c>
      <c r="H32" s="82"/>
      <c r="L32" s="34">
        <v>3.5</v>
      </c>
      <c r="M32" s="29">
        <f aca="true" t="shared" si="2" ref="M32:M43">S32*S32*PI()/4</f>
        <v>38.48451000647496</v>
      </c>
      <c r="N32" s="19">
        <f aca="true" t="shared" si="3" ref="N32:N43">T32*T32*PI()/4</f>
        <v>95.03317777109125</v>
      </c>
      <c r="O32" s="19">
        <f aca="true" t="shared" si="4" ref="O32:O43">U32*U32*PI()/4</f>
        <v>113.09733552923255</v>
      </c>
      <c r="P32" s="19">
        <f aca="true" t="shared" si="5" ref="P32:P43">V32*V32*PI()/4</f>
        <v>132.73228961416876</v>
      </c>
      <c r="Q32" s="2"/>
      <c r="R32" s="67">
        <v>3.5</v>
      </c>
      <c r="S32" s="67">
        <v>7</v>
      </c>
      <c r="T32" s="67">
        <v>11</v>
      </c>
      <c r="U32" s="67">
        <v>12</v>
      </c>
      <c r="V32" s="67">
        <v>13</v>
      </c>
    </row>
    <row r="33" spans="1:22" ht="13.5">
      <c r="A33" t="s">
        <v>94</v>
      </c>
      <c r="B33" s="69"/>
      <c r="C33" s="69" t="s">
        <v>22</v>
      </c>
      <c r="D33" s="69" t="s">
        <v>17</v>
      </c>
      <c r="E33" s="69" t="s">
        <v>21</v>
      </c>
      <c r="G33" s="80" t="s">
        <v>103</v>
      </c>
      <c r="H33" s="82"/>
      <c r="L33" s="34">
        <v>5.5</v>
      </c>
      <c r="M33" s="29">
        <f t="shared" si="2"/>
        <v>50.26548245743669</v>
      </c>
      <c r="N33" s="19">
        <f>T33*T33*PI()/4</f>
        <v>132.73228961416876</v>
      </c>
      <c r="O33" s="19">
        <f t="shared" si="4"/>
        <v>153.93804002589985</v>
      </c>
      <c r="P33" s="19">
        <f t="shared" si="5"/>
        <v>201.06192982974676</v>
      </c>
      <c r="Q33" s="2"/>
      <c r="R33" s="67">
        <v>5.5</v>
      </c>
      <c r="S33" s="67">
        <v>8</v>
      </c>
      <c r="T33" s="67">
        <v>13</v>
      </c>
      <c r="U33" s="67">
        <v>14</v>
      </c>
      <c r="V33" s="67">
        <v>16</v>
      </c>
    </row>
    <row r="34" spans="2:22" ht="13.5">
      <c r="B34" s="69" t="s">
        <v>15</v>
      </c>
      <c r="C34" s="65"/>
      <c r="D34" s="65"/>
      <c r="E34" s="123"/>
      <c r="G34" s="80" t="s">
        <v>21</v>
      </c>
      <c r="H34" s="82"/>
      <c r="L34" s="34">
        <v>8</v>
      </c>
      <c r="M34" s="29">
        <f t="shared" si="2"/>
        <v>63.61725123519331</v>
      </c>
      <c r="N34" s="19">
        <f t="shared" si="3"/>
        <v>176.71458676442586</v>
      </c>
      <c r="O34" s="19">
        <f t="shared" si="4"/>
        <v>176.71458676442586</v>
      </c>
      <c r="P34" s="19">
        <f t="shared" si="5"/>
        <v>226.98006922186255</v>
      </c>
      <c r="Q34" s="2"/>
      <c r="R34" s="67">
        <v>8</v>
      </c>
      <c r="S34" s="67">
        <v>9</v>
      </c>
      <c r="T34" s="67">
        <v>15</v>
      </c>
      <c r="U34" s="67">
        <v>15</v>
      </c>
      <c r="V34" s="67">
        <v>17</v>
      </c>
    </row>
    <row r="35" spans="2:22" ht="13.5">
      <c r="B35" s="69" t="s">
        <v>16</v>
      </c>
      <c r="C35" s="65"/>
      <c r="D35" s="65"/>
      <c r="E35" s="124"/>
      <c r="L35" s="34">
        <v>14</v>
      </c>
      <c r="M35" s="29">
        <f t="shared" si="2"/>
        <v>70.8821842466197</v>
      </c>
      <c r="N35" s="19">
        <f t="shared" si="3"/>
        <v>201.06192982974676</v>
      </c>
      <c r="O35" s="19">
        <f t="shared" si="4"/>
        <v>226.98006922186255</v>
      </c>
      <c r="P35" s="19">
        <f t="shared" si="5"/>
        <v>283.5287369864788</v>
      </c>
      <c r="Q35" s="2"/>
      <c r="R35" s="67">
        <v>14</v>
      </c>
      <c r="S35" s="67">
        <v>9.5</v>
      </c>
      <c r="T35" s="67">
        <v>16</v>
      </c>
      <c r="U35" s="67">
        <v>17</v>
      </c>
      <c r="V35" s="67">
        <v>19</v>
      </c>
    </row>
    <row r="36" spans="7:22" ht="13.5">
      <c r="G36" s="89" t="s">
        <v>106</v>
      </c>
      <c r="H36" s="89"/>
      <c r="L36" s="34">
        <v>22</v>
      </c>
      <c r="M36" s="29">
        <f t="shared" si="2"/>
        <v>95.03317777109125</v>
      </c>
      <c r="N36" s="19">
        <f t="shared" si="3"/>
        <v>283.5287369864788</v>
      </c>
      <c r="O36" s="19">
        <f t="shared" si="4"/>
        <v>314.1592653589793</v>
      </c>
      <c r="P36" s="19">
        <f t="shared" si="5"/>
        <v>415.4756284372501</v>
      </c>
      <c r="Q36" s="2"/>
      <c r="R36" s="67">
        <v>22</v>
      </c>
      <c r="S36" s="67">
        <v>11</v>
      </c>
      <c r="T36" s="67">
        <v>19</v>
      </c>
      <c r="U36" s="67">
        <v>20</v>
      </c>
      <c r="V36" s="67">
        <v>23</v>
      </c>
    </row>
    <row r="37" spans="1:22" ht="13.5">
      <c r="A37" t="s">
        <v>95</v>
      </c>
      <c r="B37" s="69"/>
      <c r="C37" s="69" t="s">
        <v>22</v>
      </c>
      <c r="D37" s="69" t="s">
        <v>17</v>
      </c>
      <c r="E37" s="69" t="s">
        <v>21</v>
      </c>
      <c r="G37" s="80" t="s">
        <v>22</v>
      </c>
      <c r="H37" s="82"/>
      <c r="L37" s="34">
        <v>38</v>
      </c>
      <c r="M37" s="29">
        <f t="shared" si="2"/>
        <v>132.73228961416876</v>
      </c>
      <c r="N37" s="19">
        <f t="shared" si="3"/>
        <v>415.4756284372501</v>
      </c>
      <c r="O37" s="19">
        <f t="shared" si="4"/>
        <v>490.8738521234052</v>
      </c>
      <c r="P37" s="19">
        <f t="shared" si="5"/>
        <v>572.5552611167398</v>
      </c>
      <c r="Q37" s="2"/>
      <c r="R37" s="67">
        <v>38</v>
      </c>
      <c r="S37" s="67">
        <v>13</v>
      </c>
      <c r="T37" s="67">
        <v>23</v>
      </c>
      <c r="U37" s="67">
        <v>25</v>
      </c>
      <c r="V37" s="67">
        <v>27</v>
      </c>
    </row>
    <row r="38" spans="2:22" ht="13.5">
      <c r="B38" s="69" t="s">
        <v>15</v>
      </c>
      <c r="C38" s="65"/>
      <c r="D38" s="65"/>
      <c r="E38" s="123"/>
      <c r="G38" s="80" t="s">
        <v>21</v>
      </c>
      <c r="H38" s="82"/>
      <c r="L38" s="34">
        <v>60</v>
      </c>
      <c r="M38" s="29">
        <f t="shared" si="2"/>
        <v>201.06192982974676</v>
      </c>
      <c r="N38" s="19">
        <f t="shared" si="3"/>
        <v>660.519855417254</v>
      </c>
      <c r="O38" s="19">
        <f t="shared" si="4"/>
        <v>754.7676350249478</v>
      </c>
      <c r="P38" s="19">
        <f t="shared" si="5"/>
        <v>907.9202768874502</v>
      </c>
      <c r="Q38" s="2"/>
      <c r="R38" s="67">
        <v>60</v>
      </c>
      <c r="S38" s="67">
        <v>16</v>
      </c>
      <c r="T38" s="67">
        <v>29</v>
      </c>
      <c r="U38" s="67">
        <v>31</v>
      </c>
      <c r="V38" s="67">
        <v>34</v>
      </c>
    </row>
    <row r="39" spans="2:22" ht="13.5">
      <c r="B39" s="69" t="s">
        <v>16</v>
      </c>
      <c r="C39" s="65"/>
      <c r="D39" s="65"/>
      <c r="E39" s="124"/>
      <c r="L39" s="34">
        <v>100</v>
      </c>
      <c r="M39" s="29">
        <f t="shared" si="2"/>
        <v>283.5287369864788</v>
      </c>
      <c r="N39" s="19">
        <f t="shared" si="3"/>
        <v>1075.2100856911068</v>
      </c>
      <c r="O39" s="19">
        <f>U39*U39*PI()/4</f>
        <v>1194.5906065275187</v>
      </c>
      <c r="P39" s="19">
        <f t="shared" si="5"/>
        <v>1520.53084433746</v>
      </c>
      <c r="Q39" s="2"/>
      <c r="R39" s="67">
        <v>100</v>
      </c>
      <c r="S39" s="67">
        <v>19</v>
      </c>
      <c r="T39" s="67">
        <v>37</v>
      </c>
      <c r="U39" s="67">
        <v>39</v>
      </c>
      <c r="V39" s="67">
        <v>44</v>
      </c>
    </row>
    <row r="40" spans="12:22" ht="13.5">
      <c r="L40" s="34">
        <v>150</v>
      </c>
      <c r="M40" s="29">
        <f t="shared" si="2"/>
        <v>380.132711084365</v>
      </c>
      <c r="N40" s="19">
        <f t="shared" si="3"/>
        <v>1385.4423602330987</v>
      </c>
      <c r="O40" s="19">
        <f t="shared" si="4"/>
        <v>1590.4312808798327</v>
      </c>
      <c r="P40" s="19">
        <f t="shared" si="5"/>
        <v>2042.820622996763</v>
      </c>
      <c r="Q40" s="2"/>
      <c r="R40" s="67">
        <v>150</v>
      </c>
      <c r="S40" s="67">
        <v>22</v>
      </c>
      <c r="T40" s="67">
        <v>42</v>
      </c>
      <c r="U40" s="67">
        <v>45</v>
      </c>
      <c r="V40" s="67">
        <v>51</v>
      </c>
    </row>
    <row r="41" spans="1:22" ht="13.5">
      <c r="A41" t="s">
        <v>96</v>
      </c>
      <c r="B41" s="69"/>
      <c r="C41" s="69" t="s">
        <v>22</v>
      </c>
      <c r="D41" s="69" t="s">
        <v>17</v>
      </c>
      <c r="E41" s="69" t="s">
        <v>21</v>
      </c>
      <c r="L41" s="34">
        <v>200</v>
      </c>
      <c r="M41" s="29">
        <f t="shared" si="2"/>
        <v>530.929158456675</v>
      </c>
      <c r="N41" s="19">
        <f t="shared" si="3"/>
        <v>1963.4954084936207</v>
      </c>
      <c r="O41" s="19">
        <f t="shared" si="4"/>
        <v>2206.1834409834323</v>
      </c>
      <c r="P41" s="19">
        <f t="shared" si="5"/>
        <v>2827.4333882308138</v>
      </c>
      <c r="Q41" s="2"/>
      <c r="R41" s="67">
        <v>200</v>
      </c>
      <c r="S41" s="67">
        <v>26</v>
      </c>
      <c r="T41" s="67">
        <v>50</v>
      </c>
      <c r="U41" s="67">
        <v>53</v>
      </c>
      <c r="V41" s="67">
        <v>60</v>
      </c>
    </row>
    <row r="42" spans="2:22" ht="13.5">
      <c r="B42" s="69" t="s">
        <v>15</v>
      </c>
      <c r="C42" s="65"/>
      <c r="D42" s="65"/>
      <c r="E42" s="123"/>
      <c r="L42" s="34">
        <v>250</v>
      </c>
      <c r="M42" s="29">
        <f t="shared" si="2"/>
        <v>615.7521601035994</v>
      </c>
      <c r="N42" s="19">
        <f t="shared" si="3"/>
        <v>2290.221044466959</v>
      </c>
      <c r="O42" s="19">
        <f t="shared" si="4"/>
        <v>2642.079421669016</v>
      </c>
      <c r="P42" s="19">
        <f t="shared" si="5"/>
        <v>3318.307240354219</v>
      </c>
      <c r="Q42" s="2"/>
      <c r="R42" s="67">
        <v>250</v>
      </c>
      <c r="S42" s="67">
        <v>28</v>
      </c>
      <c r="T42" s="67">
        <v>54</v>
      </c>
      <c r="U42" s="67">
        <v>58</v>
      </c>
      <c r="V42" s="67">
        <v>65</v>
      </c>
    </row>
    <row r="43" spans="2:22" ht="14.25" thickBot="1">
      <c r="B43" s="69" t="s">
        <v>16</v>
      </c>
      <c r="C43" s="65"/>
      <c r="D43" s="65"/>
      <c r="E43" s="124"/>
      <c r="L43" s="35">
        <v>325</v>
      </c>
      <c r="M43" s="29">
        <f t="shared" si="2"/>
        <v>754.7676350249478</v>
      </c>
      <c r="N43" s="19">
        <f t="shared" si="3"/>
        <v>2827.4333882308138</v>
      </c>
      <c r="O43" s="19">
        <f t="shared" si="4"/>
        <v>3216.990877275948</v>
      </c>
      <c r="P43" s="19">
        <f t="shared" si="5"/>
        <v>4071.5040790523717</v>
      </c>
      <c r="Q43" s="2"/>
      <c r="R43" s="67">
        <v>325</v>
      </c>
      <c r="S43" s="67">
        <v>31</v>
      </c>
      <c r="T43" s="67">
        <v>60</v>
      </c>
      <c r="U43" s="67">
        <v>64</v>
      </c>
      <c r="V43" s="67">
        <v>72</v>
      </c>
    </row>
    <row r="44" ht="14.25" thickTop="1"/>
    <row r="45" spans="1:15" ht="11.25" customHeight="1">
      <c r="A45" t="s">
        <v>105</v>
      </c>
      <c r="B45" s="71"/>
      <c r="C45" s="134" t="s">
        <v>22</v>
      </c>
      <c r="D45" s="135"/>
      <c r="E45" s="69" t="s">
        <v>21</v>
      </c>
      <c r="O45" s="57"/>
    </row>
    <row r="46" spans="1:15" ht="13.5">
      <c r="A46" t="s">
        <v>97</v>
      </c>
      <c r="B46" s="71"/>
      <c r="C46" s="138"/>
      <c r="D46" s="139"/>
      <c r="E46" s="86"/>
      <c r="O46" s="57"/>
    </row>
    <row r="47" spans="2:15" ht="13.5">
      <c r="B47" s="71"/>
      <c r="C47" s="138"/>
      <c r="D47" s="139"/>
      <c r="E47" s="68"/>
      <c r="O47" s="57"/>
    </row>
    <row r="48" ht="13.5">
      <c r="O48" s="57"/>
    </row>
    <row r="49" spans="1:15" ht="24">
      <c r="A49" s="54" t="s">
        <v>70</v>
      </c>
      <c r="O49" s="57"/>
    </row>
    <row r="50" spans="1:15" ht="13.5">
      <c r="A50" s="55" t="s">
        <v>98</v>
      </c>
      <c r="O50" s="57"/>
    </row>
    <row r="51" spans="1:15" ht="13.5">
      <c r="A51" s="55" t="s">
        <v>99</v>
      </c>
      <c r="L51" s="56"/>
      <c r="M51" s="58"/>
      <c r="N51" s="59"/>
      <c r="O51" s="57"/>
    </row>
    <row r="52" spans="1:15" ht="13.5">
      <c r="A52" s="51" t="s">
        <v>86</v>
      </c>
      <c r="L52" s="56"/>
      <c r="M52" s="58"/>
      <c r="N52" s="59"/>
      <c r="O52" s="57"/>
    </row>
    <row r="53" spans="1:15" ht="13.5">
      <c r="A53" s="51" t="s">
        <v>111</v>
      </c>
      <c r="L53" s="56"/>
      <c r="M53" s="58"/>
      <c r="N53" s="59"/>
      <c r="O53" s="57"/>
    </row>
    <row r="54" spans="1:15" ht="13.5">
      <c r="A54" s="78" t="s">
        <v>100</v>
      </c>
      <c r="L54" s="56"/>
      <c r="M54" s="58"/>
      <c r="N54" s="59"/>
      <c r="O54" s="57"/>
    </row>
    <row r="55" spans="1:15" ht="14.25">
      <c r="A55" s="83" t="s">
        <v>112</v>
      </c>
      <c r="L55" s="56"/>
      <c r="M55" s="58"/>
      <c r="N55" s="59"/>
      <c r="O55" s="57"/>
    </row>
    <row r="56" spans="1:15" ht="14.25">
      <c r="A56" s="83" t="s">
        <v>107</v>
      </c>
      <c r="L56" s="56"/>
      <c r="M56" s="58"/>
      <c r="N56" s="59"/>
      <c r="O56" s="57"/>
    </row>
    <row r="57" spans="12:15" ht="13.5">
      <c r="L57" s="56"/>
      <c r="M57" s="58"/>
      <c r="N57" s="59"/>
      <c r="O57" s="57"/>
    </row>
    <row r="58" spans="12:15" ht="13.5">
      <c r="L58" s="56"/>
      <c r="M58" s="58"/>
      <c r="N58" s="59"/>
      <c r="O58" s="57"/>
    </row>
    <row r="59" spans="1:15" ht="13.5" hidden="1">
      <c r="A59" s="52"/>
      <c r="L59" s="56"/>
      <c r="M59" s="58"/>
      <c r="N59" s="59"/>
      <c r="O59" s="57"/>
    </row>
    <row r="60" spans="2:15" ht="13.5" hidden="1">
      <c r="B60" s="140" t="s">
        <v>85</v>
      </c>
      <c r="C60" s="140"/>
      <c r="D60" s="140"/>
      <c r="E60" s="45" t="s">
        <v>42</v>
      </c>
      <c r="F60" s="46">
        <f>IF(C63="","",IF(B5="床","床用支持金具",IF(B5="中空壁","L金具","")))</f>
      </c>
      <c r="G60" s="136" t="s">
        <v>109</v>
      </c>
      <c r="H60" s="137"/>
      <c r="J60" s="45" t="s">
        <v>42</v>
      </c>
      <c r="K60" s="46">
        <f>IF(H63="","",IF($B$5="床","床用支持金具",IF($B$5="中空壁","L金具","")))</f>
      </c>
      <c r="L60" s="56"/>
      <c r="M60" s="58"/>
      <c r="N60" s="59"/>
      <c r="O60" s="57"/>
    </row>
    <row r="61" spans="2:15" ht="13.5" hidden="1">
      <c r="B61" s="27" t="s">
        <v>33</v>
      </c>
      <c r="C61" s="53">
        <f>IF(B78="","",ROUNDUP(B78/10,0)*10)</f>
      </c>
      <c r="D61" t="s">
        <v>84</v>
      </c>
      <c r="E61" s="47">
        <f>IF(OR(C63&lt;0.05,C63=""),"",VLOOKUP(C63+0.01,L63:M72,2,1))</f>
      </c>
      <c r="F61" s="48">
        <f>IF(F60="","",IF($B$5="床",VLOOKUP(ROUNDUP(E6/1000,1)*1000,L81:M93,2,0),IF($B$5="中空壁",VLOOKUP(B6,L75:M79,2,0))))</f>
      </c>
      <c r="G61" s="77" t="s">
        <v>33</v>
      </c>
      <c r="H61" s="92">
        <f>IF(E11="","",E11)</f>
      </c>
      <c r="I61" s="42"/>
      <c r="J61" s="47">
        <f>IF(OR(H63&lt;0.05,H63=""),"",VLOOKUP(H63+0.01,L63:M72,2,1))</f>
      </c>
      <c r="K61" s="48">
        <f>IF(K60="","",IF($B$5="床",VLOOKUP(ROUNDUP(H62/1000,1)*1000,L81:M93,2,0),IF($B$5="中空壁",VLOOKUP(B6,L75:M78,2,0))))</f>
      </c>
      <c r="L61" s="56"/>
      <c r="M61" s="58"/>
      <c r="N61" s="59"/>
      <c r="O61" s="57"/>
    </row>
    <row r="62" spans="2:15" ht="13.5" hidden="1">
      <c r="B62" s="25" t="s">
        <v>34</v>
      </c>
      <c r="C62" s="53">
        <f>IF(B79="","",ROUNDUP(B79/10,0)*10)</f>
      </c>
      <c r="D62" s="26" t="s">
        <v>84</v>
      </c>
      <c r="E62" s="49">
        <f>IF(OR(C63&lt;0.05,C63=""),"",VLOOKUP(G5,M63:N72,2,0))</f>
      </c>
      <c r="F62" s="49">
        <f>IF(F60="","",IF($B$5="床",VLOOKUP(H5,M81:N93,2,0),IF($B$5="中空壁",2*(ROUNDUP(C61/100,0)+ROUNDUP(C62/100,0))*VLOOKUP(F61,M75:N79,2,0))))</f>
      </c>
      <c r="G62" s="87" t="s">
        <v>34</v>
      </c>
      <c r="H62" s="92">
        <f>IF(E12="","",E12)</f>
      </c>
      <c r="I62" s="81"/>
      <c r="J62" s="49">
        <f>IF(OR(H63&lt;0.05,H63=""),"",VLOOKUP(J61,M63:N72,2,0))</f>
      </c>
      <c r="K62" s="49">
        <f>IF(K60="","",IF($B$5="床",VLOOKUP(K61,M81:N93,2,0),IF($B$5="中空壁",2*(ROUNDUP(H61/100,0)+ROUNDUP(H62/100,0))*VLOOKUP(K61,M75:N78,2,0))))</f>
      </c>
      <c r="L62" s="60"/>
      <c r="M62" s="61" t="s">
        <v>72</v>
      </c>
      <c r="N62" s="61" t="s">
        <v>43</v>
      </c>
      <c r="O62" s="57"/>
    </row>
    <row r="63" spans="2:15" ht="15.75" hidden="1">
      <c r="B63" s="25" t="s">
        <v>35</v>
      </c>
      <c r="C63" s="47">
        <f>IF(C61="","",ROUNDUP(C61*C62/1000000,2))</f>
      </c>
      <c r="D63" t="s">
        <v>36</v>
      </c>
      <c r="F63" s="66">
        <f>IF($B$5="床","",IF($B$5="ALCパネル、コンクリート壁","",IF(F60="","",IF(F60="L金具","必要枚数 ：  "&amp;2*(ROUNDUP(C61/100,0)+ROUNDUP(C62/100,0))))))</f>
      </c>
      <c r="G63" s="87" t="s">
        <v>35</v>
      </c>
      <c r="H63" s="92">
        <f>IF(OR(H61=0,H61=""),"",ROUNDUP(H61*H62/1000000,2))</f>
      </c>
      <c r="I63" s="42"/>
      <c r="K63" s="66">
        <f>IF(K60="","",IF(B5="床","",IF(B5="ALCパネル、コンクリート壁","",IF(K60="L金具","必要枚数 ：  "&amp;2*(ROUNDUP(H61/100,0)+ROUNDUP(H62/100,0))))))</f>
      </c>
      <c r="L63" s="62">
        <v>0.06</v>
      </c>
      <c r="M63" s="61" t="s">
        <v>73</v>
      </c>
      <c r="N63" s="63">
        <v>11500</v>
      </c>
      <c r="O63" s="57"/>
    </row>
    <row r="64" spans="3:15" ht="13.5" hidden="1">
      <c r="C64" s="51" t="str">
        <f>IF(B5="床","認定条件：0.75m2以下","認定条件：0.17m2以下")</f>
        <v>認定条件：0.17m2以下</v>
      </c>
      <c r="E64" s="47" t="s">
        <v>67</v>
      </c>
      <c r="F64" s="50">
        <f>IF(C61="","",((SUM(B69:J70)+SUM(B81:E81))/C61/C62))</f>
      </c>
      <c r="G64" s="51" t="str">
        <f>IF($B$5="床","認定条件：0.75m2以下","認定条件：0.17m2以下")</f>
        <v>認定条件：0.17m2以下</v>
      </c>
      <c r="J64" s="47" t="s">
        <v>67</v>
      </c>
      <c r="K64" s="50">
        <f>IF(H61="","",((SUM(B69:J70)+SUM(B81:E81))/H61/H62))</f>
      </c>
      <c r="L64" s="62">
        <v>0.08</v>
      </c>
      <c r="M64" s="61" t="s">
        <v>74</v>
      </c>
      <c r="N64" s="63">
        <v>14000</v>
      </c>
      <c r="O64" s="57"/>
    </row>
    <row r="65" spans="6:14" ht="13.5" hidden="1">
      <c r="F65" s="51" t="str">
        <f>IF(B5="床","認定条件：32.9％以下","認定条件：50.7％以下")</f>
        <v>認定条件：50.7％以下</v>
      </c>
      <c r="J65" s="51" t="str">
        <f>IF($B$5="床","認定条件：32.9％以下","認定条件：50.7％以下")</f>
        <v>認定条件：50.7％以下</v>
      </c>
      <c r="L65" s="62">
        <v>0.1</v>
      </c>
      <c r="M65" s="61" t="s">
        <v>75</v>
      </c>
      <c r="N65" s="63">
        <v>17500</v>
      </c>
    </row>
    <row r="66" spans="2:14" ht="13.5" hidden="1">
      <c r="B66" s="25"/>
      <c r="L66" s="44">
        <v>0.12</v>
      </c>
      <c r="M66" s="39" t="s">
        <v>44</v>
      </c>
      <c r="N66" s="40">
        <v>19800</v>
      </c>
    </row>
    <row r="67" spans="12:14" ht="13.5" hidden="1">
      <c r="L67" s="44">
        <v>0.14</v>
      </c>
      <c r="M67" s="39" t="s">
        <v>45</v>
      </c>
      <c r="N67" s="40">
        <v>23000</v>
      </c>
    </row>
    <row r="68" spans="1:14" ht="13.5" hidden="1">
      <c r="A68" s="25"/>
      <c r="B68" s="25" t="s">
        <v>10</v>
      </c>
      <c r="C68" s="25" t="s">
        <v>11</v>
      </c>
      <c r="D68" s="25" t="s">
        <v>12</v>
      </c>
      <c r="E68" s="25" t="s">
        <v>13</v>
      </c>
      <c r="F68" s="25" t="s">
        <v>14</v>
      </c>
      <c r="G68" s="25" t="s">
        <v>18</v>
      </c>
      <c r="H68" s="25" t="s">
        <v>19</v>
      </c>
      <c r="I68" s="25" t="s">
        <v>20</v>
      </c>
      <c r="J68" s="70"/>
      <c r="L68" s="44">
        <v>0.16</v>
      </c>
      <c r="M68" s="39" t="s">
        <v>46</v>
      </c>
      <c r="N68" s="40">
        <v>25800</v>
      </c>
    </row>
    <row r="69" spans="1:14" ht="13.5" hidden="1">
      <c r="A69" s="25" t="s">
        <v>68</v>
      </c>
      <c r="B69" s="25">
        <f>IF(C18="","",E18*INDEX($M$12:$P$26,MATCH(C18,$L$12:$L$26,0),MATCH(D18,$M$11:$P$11,0)))</f>
      </c>
      <c r="C69" s="25">
        <f>IF(C22="","",E22*INDEX($M$12:$P$26,MATCH(C22,$L$12:$L$26,0),MATCH(D22,$M$11:$P$11,0)))</f>
      </c>
      <c r="D69" s="25">
        <f>IF(C26="","",E26*INDEX($M$12:$P$26,MATCH(C26,$L$12:$L$26,0),MATCH(D26,$M$11:$P$11,0)))</f>
      </c>
      <c r="E69" s="25">
        <f>IF(C30="","",E30*INDEX($M$12:$P$26,MATCH(C30,$L$12:$L$26,0),MATCH(D30,$M$11:$P$11,0)))</f>
      </c>
      <c r="F69" s="25">
        <f>IF(C34="","",E34*INDEX($M$12:$P$26,MATCH(C34,$L$12:$L$26,0),MATCH(D34,$M$11:$P$11,0)))</f>
      </c>
      <c r="G69" s="25">
        <f>IF(C38="","",E38*INDEX($M$12:$P$26,MATCH(C38,$L$12:$L$26,0),MATCH(D38,$M$11:$P$11,0)))</f>
      </c>
      <c r="H69" s="25">
        <f>IF(C42="","",E42*INDEX($M$12:$P$26,MATCH(C42,$L$12:$L$26,0),MATCH(D42,$M$11:$P$11,0)))</f>
      </c>
      <c r="I69" s="25">
        <f>IF(C46="","",(C46^2*PI()/4*E46))</f>
      </c>
      <c r="J69" s="25">
        <f>IF(C47="","",(C47^2*PI()/4*E47))</f>
      </c>
      <c r="L69" s="44">
        <v>0.18</v>
      </c>
      <c r="M69" s="39" t="s">
        <v>47</v>
      </c>
      <c r="N69" s="41">
        <v>28500</v>
      </c>
    </row>
    <row r="70" spans="1:14" ht="13.5" hidden="1">
      <c r="A70" s="25" t="s">
        <v>69</v>
      </c>
      <c r="B70" s="25">
        <f>IF(C19="","",E18*INDEX($M$12:$P$26,MATCH(C19,$L$12:$L$26,0),MATCH(D19,$M$11:$P$11,0)))</f>
      </c>
      <c r="C70" s="25">
        <f>IF(C23="","",E22*INDEX($M$12:$P$26,MATCH(C23,$L$12:$L$26,0),MATCH(D23,$M$11:$P$11,0)))</f>
      </c>
      <c r="D70" s="25">
        <f>IF(C27="","",E26*INDEX($M$12:$P$26,MATCH(C27,$L$12:$L$26,0),MATCH(D27,$M$11:$P$11,0)))</f>
      </c>
      <c r="E70" s="25">
        <f>IF(C31="","",E30*INDEX($M$12:$P$26,MATCH(C31,$L$12:$L$26,0),MATCH(D31,$M$11:$P$11,0)))</f>
      </c>
      <c r="F70" s="25">
        <f>IF(C35="","",E34*INDEX($M$12:$P$26,MATCH(C35,$L$12:$L$26,0),MATCH(D35,$M$11:$P$11,0)))</f>
      </c>
      <c r="G70" s="25">
        <f>IF(C39="","",E38*INDEX($M$12:$P$26,MATCH(C39,$L$12:$L$26,0),MATCH(D39,$M$11:$P$11,0)))</f>
      </c>
      <c r="H70" s="25">
        <f>IF(C43="","",E42*INDEX($M$12:$P$26,MATCH(C43,$L$12:$L$26,0),MATCH(D43,$M$11:$P$11,0)))</f>
      </c>
      <c r="I70" s="25"/>
      <c r="J70" s="25">
        <f>IF(D47="","",(D47^2*PI()/4*F47))</f>
      </c>
      <c r="L70" s="44">
        <v>0.2</v>
      </c>
      <c r="M70" s="39" t="s">
        <v>48</v>
      </c>
      <c r="N70" s="41">
        <v>32000</v>
      </c>
    </row>
    <row r="71" spans="1:14" ht="13.5" hidden="1">
      <c r="A71" s="25"/>
      <c r="B71" s="25" t="s">
        <v>10</v>
      </c>
      <c r="C71" s="25" t="s">
        <v>11</v>
      </c>
      <c r="D71" s="25" t="s">
        <v>12</v>
      </c>
      <c r="E71" s="25" t="s">
        <v>13</v>
      </c>
      <c r="F71" s="25" t="s">
        <v>14</v>
      </c>
      <c r="G71" s="25" t="s">
        <v>18</v>
      </c>
      <c r="H71" s="25" t="s">
        <v>19</v>
      </c>
      <c r="I71" s="25" t="s">
        <v>20</v>
      </c>
      <c r="J71" s="25" t="s">
        <v>110</v>
      </c>
      <c r="L71" s="44">
        <v>0.22</v>
      </c>
      <c r="M71" s="39" t="s">
        <v>49</v>
      </c>
      <c r="N71" s="41">
        <v>35000</v>
      </c>
    </row>
    <row r="72" spans="1:14" ht="13.5" hidden="1">
      <c r="A72" s="25" t="s">
        <v>31</v>
      </c>
      <c r="B72" s="25">
        <f>IF(C18="","",INDEX($S$12:$V$26,MATCH(C18,$R$12:$R$26,0),MATCH(D18,$S$11:$V$11,0)))</f>
      </c>
      <c r="C72" s="25">
        <f>IF(C22="","",INDEX($S$12:$V$26,MATCH(C22,$R$12:$R$26,0),MATCH(D22,$S$11:$V$11,0)))</f>
      </c>
      <c r="D72" s="25">
        <f>IF(C26="","",INDEX($S$12:$V$26,MATCH(C26,$R$12:$R$26,0),MATCH(D26,$S$11:$V$11,0)))</f>
      </c>
      <c r="E72" s="25">
        <f>IF(C30="","",INDEX($S$12:$V$26,MATCH(C30,$R$12:$R$26,0),MATCH(D30,$S$11:$V$11,0)))</f>
      </c>
      <c r="F72" s="25">
        <f>IF(C34="","",INDEX($S$12:$V$26,MATCH(C34,$R$12:$R$26,0),MATCH(D34,$S$11:$V$11,0)))</f>
      </c>
      <c r="G72" s="25">
        <f>IF(C38="","",INDEX($S$12:$V$26,MATCH(C38,$R$12:$R$26,0),MATCH(D38,$S$11:$V$11,0)))</f>
      </c>
      <c r="H72" s="25">
        <f>IF(C42="","",INDEX($S$12:$V$26,MATCH(C42,$R$12:$R$26,0),MATCH(D42,$S$11:$V$11,0)))</f>
      </c>
      <c r="I72" s="25">
        <f>IF(C46="","",C46)</f>
      </c>
      <c r="J72" s="25">
        <f>IF(C47="","",C47)</f>
      </c>
      <c r="L72" s="44">
        <v>0.24</v>
      </c>
      <c r="M72" s="39" t="s">
        <v>50</v>
      </c>
      <c r="N72" s="41">
        <v>38300</v>
      </c>
    </row>
    <row r="73" spans="1:14" ht="13.5" hidden="1">
      <c r="A73" s="25" t="s">
        <v>32</v>
      </c>
      <c r="B73" s="25">
        <f>IF(C19="",0,INDEX($S$12:$V$26,MATCH(C19,$R$12:$R$26,0),MATCH(D19,$S$11:$V$11,0)))</f>
        <v>0</v>
      </c>
      <c r="C73" s="25">
        <f>IF(C23="",0,INDEX($S$12:$V$26,MATCH(C23,$R$12:$R$26,0),MATCH(D23,$S$11:$V$11,0)))</f>
        <v>0</v>
      </c>
      <c r="D73" s="25">
        <f>IF(C27="",0,INDEX($S$12:$V$26,MATCH(C27,$R$12:$R$26,0),MATCH(D27,$S$11:$V$11,0)))</f>
        <v>0</v>
      </c>
      <c r="E73" s="25">
        <f>IF(C31="",0,INDEX($S$12:$V$26,MATCH(C31,$R$12:$R$26,0),MATCH(D31,$S$11:$V$11,0)))</f>
        <v>0</v>
      </c>
      <c r="F73" s="25">
        <f>IF(C35="",0,INDEX($S$12:$V$26,MATCH(C35,$R$12:$R$26,0),MATCH(D35,$S$11:$V$11,0)))</f>
        <v>0</v>
      </c>
      <c r="G73" s="25">
        <f>IF(C39="",0,INDEX($S$12:$V$26,MATCH(C39,$R$12:$R$26,0),MATCH(D39,$S$11:$V$11,0)))</f>
        <v>0</v>
      </c>
      <c r="H73" s="25">
        <f>IF(C43="",0,INDEX($S$12:$V$26,MATCH(C43,$R$12:$R$26,0),MATCH(D43,$S$11:$V$11,0)))</f>
        <v>0</v>
      </c>
      <c r="I73" s="25"/>
      <c r="J73" s="25">
        <f>IF(D47="",0,F47)</f>
        <v>0</v>
      </c>
      <c r="M73" s="42"/>
      <c r="N73" s="42"/>
    </row>
    <row r="74" spans="1:14" ht="13.5" hidden="1">
      <c r="A74" t="s">
        <v>38</v>
      </c>
      <c r="B74">
        <f>IF(B72="","",B72+B73)</f>
      </c>
      <c r="C74">
        <f aca="true" t="shared" si="6" ref="C74:H74">IF(C72="","",C72+C73)</f>
      </c>
      <c r="D74">
        <f t="shared" si="6"/>
      </c>
      <c r="E74">
        <f t="shared" si="6"/>
      </c>
      <c r="F74">
        <f t="shared" si="6"/>
      </c>
      <c r="G74">
        <f t="shared" si="6"/>
      </c>
      <c r="H74">
        <f t="shared" si="6"/>
      </c>
      <c r="I74">
        <f>IF(I72="","",I72+I73)</f>
      </c>
      <c r="J74">
        <f>IF(J72="","",J72+J73)</f>
      </c>
      <c r="M74" s="39" t="s">
        <v>51</v>
      </c>
      <c r="N74" s="39" t="s">
        <v>43</v>
      </c>
    </row>
    <row r="75" spans="1:14" ht="13.5" hidden="1">
      <c r="A75" t="s">
        <v>40</v>
      </c>
      <c r="B75">
        <f>IF(B72="","",MAX(B72:B73))</f>
      </c>
      <c r="C75">
        <f aca="true" t="shared" si="7" ref="C75:H75">IF(C72="","",MAX(C72:C73))</f>
      </c>
      <c r="D75">
        <f t="shared" si="7"/>
      </c>
      <c r="E75">
        <f t="shared" si="7"/>
      </c>
      <c r="F75">
        <f t="shared" si="7"/>
      </c>
      <c r="G75">
        <f t="shared" si="7"/>
      </c>
      <c r="H75">
        <f t="shared" si="7"/>
      </c>
      <c r="I75">
        <f>IF(I72="","",MAX(I72:I73))</f>
      </c>
      <c r="J75">
        <f>IF(J72="","",MAX(J72:J73))</f>
      </c>
      <c r="L75" s="2" t="s">
        <v>26</v>
      </c>
      <c r="M75" s="39" t="s">
        <v>52</v>
      </c>
      <c r="N75" s="41">
        <v>138</v>
      </c>
    </row>
    <row r="76" spans="1:14" ht="13.5" hidden="1">
      <c r="A76" t="s">
        <v>21</v>
      </c>
      <c r="B76">
        <f>IF(B72="","",E18)</f>
      </c>
      <c r="C76">
        <f>IF(C72="","",E22)</f>
      </c>
      <c r="D76">
        <f>IF(D72="","",E26)</f>
      </c>
      <c r="E76">
        <f>IF(E72="","",E30)</f>
      </c>
      <c r="F76">
        <f>IF(F72="","",E34)</f>
      </c>
      <c r="G76">
        <f>IF(G72="","",E38)</f>
      </c>
      <c r="H76">
        <f>IF(H72="","",E42)</f>
      </c>
      <c r="I76">
        <f>IF(I72="","",E46)</f>
      </c>
      <c r="J76">
        <f>IF(J72="","",E47)</f>
      </c>
      <c r="L76" s="2" t="s">
        <v>27</v>
      </c>
      <c r="M76" s="39" t="s">
        <v>53</v>
      </c>
      <c r="N76" s="41">
        <v>138</v>
      </c>
    </row>
    <row r="77" spans="1:14" ht="13.5" hidden="1">
      <c r="A77" t="s">
        <v>41</v>
      </c>
      <c r="B77">
        <f>IF(B72="","",B75*B76)</f>
      </c>
      <c r="C77">
        <f>IF(C72="","",C75*C76)</f>
      </c>
      <c r="D77">
        <f aca="true" t="shared" si="8" ref="D77:I77">IF(D72="","",D75*D76)</f>
      </c>
      <c r="E77">
        <f t="shared" si="8"/>
      </c>
      <c r="F77">
        <f t="shared" si="8"/>
      </c>
      <c r="G77">
        <f t="shared" si="8"/>
      </c>
      <c r="H77">
        <f t="shared" si="8"/>
      </c>
      <c r="I77">
        <f t="shared" si="8"/>
      </c>
      <c r="J77">
        <f>IF(J72="","",J75*J76)</f>
      </c>
      <c r="L77" s="2" t="s">
        <v>28</v>
      </c>
      <c r="M77" s="39" t="s">
        <v>54</v>
      </c>
      <c r="N77" s="41">
        <v>200</v>
      </c>
    </row>
    <row r="78" spans="1:14" ht="13.5" hidden="1">
      <c r="A78" t="s">
        <v>37</v>
      </c>
      <c r="B78">
        <f>IF(SUM(B76:J76)+SUM(B81:E81)=0,"",IF(B5="床",1*ROUNDUP((MAX(B74:J74)+80)/1,1),1*ROUNDUP((MAX(B74:J74)+40)/1,1)))</f>
      </c>
      <c r="L78" s="2" t="s">
        <v>29</v>
      </c>
      <c r="M78" s="39" t="s">
        <v>55</v>
      </c>
      <c r="N78" s="41">
        <v>260</v>
      </c>
    </row>
    <row r="79" spans="1:14" ht="13.5" hidden="1">
      <c r="A79" t="s">
        <v>39</v>
      </c>
      <c r="B79">
        <f>IF(SUM(B76:J76)+SUM(B81:E81)=0,"",1000*ROUNDUP((SUM(B77:J77)+20+20*SUM(B76:J76))/1000,1))</f>
      </c>
      <c r="L79" s="2" t="s">
        <v>30</v>
      </c>
      <c r="M79" s="42" t="s">
        <v>71</v>
      </c>
      <c r="N79" s="42"/>
    </row>
    <row r="80" spans="13:14" ht="13.5" hidden="1">
      <c r="M80" s="43" t="s">
        <v>56</v>
      </c>
      <c r="N80" s="39" t="s">
        <v>43</v>
      </c>
    </row>
    <row r="81" spans="1:14" ht="13.5" hidden="1">
      <c r="A81" t="s">
        <v>104</v>
      </c>
      <c r="B81" s="25">
        <f>IF(H22="","",H24*INDEX($M$31:$P$34,MATCH(H22,$L$31:$L$34,0),MATCH(H23,$M$30:$P$30,0)))</f>
      </c>
      <c r="C81" s="25">
        <f>IF(H27="","",H29*INDEX($M$31:$P$34,MATCH(H27,$L$31:$L$34,0),MATCH(H28,$M$30:$P$30,0)))</f>
      </c>
      <c r="D81" s="25">
        <f>IF(H32="","",H34*INDEX($M$31:$P$34,MATCH(H32,$L$31:$L$34,0),MATCH(H33,$M$30:$P$30,0)))</f>
      </c>
      <c r="E81">
        <f>(H38*(H37^2*PI()/4))</f>
        <v>0</v>
      </c>
      <c r="L81" s="44">
        <v>300</v>
      </c>
      <c r="M81" s="39" t="s">
        <v>57</v>
      </c>
      <c r="N81" s="40">
        <v>2690</v>
      </c>
    </row>
    <row r="82" spans="12:14" ht="13.5" hidden="1">
      <c r="L82" s="44">
        <v>400</v>
      </c>
      <c r="M82" s="39" t="s">
        <v>58</v>
      </c>
      <c r="N82" s="40">
        <v>2690</v>
      </c>
    </row>
    <row r="83" spans="12:14" ht="13.5" hidden="1">
      <c r="L83" s="44">
        <v>500</v>
      </c>
      <c r="M83" s="39" t="s">
        <v>59</v>
      </c>
      <c r="N83" s="40">
        <v>2690</v>
      </c>
    </row>
    <row r="84" spans="12:14" ht="13.5" hidden="1">
      <c r="L84" s="44">
        <v>600</v>
      </c>
      <c r="M84" s="39" t="s">
        <v>60</v>
      </c>
      <c r="N84" s="40">
        <v>3480</v>
      </c>
    </row>
    <row r="85" spans="12:14" ht="13.5" hidden="1">
      <c r="L85" s="44">
        <v>700</v>
      </c>
      <c r="M85" s="39" t="s">
        <v>61</v>
      </c>
      <c r="N85" s="40">
        <v>3480</v>
      </c>
    </row>
    <row r="86" spans="12:14" ht="13.5" hidden="1">
      <c r="L86" s="44">
        <v>800</v>
      </c>
      <c r="M86" s="39" t="s">
        <v>62</v>
      </c>
      <c r="N86" s="40">
        <v>4270</v>
      </c>
    </row>
    <row r="87" spans="12:14" ht="13.5" hidden="1">
      <c r="L87" s="44">
        <v>900</v>
      </c>
      <c r="M87" s="39" t="s">
        <v>63</v>
      </c>
      <c r="N87" s="41">
        <v>4270</v>
      </c>
    </row>
    <row r="88" spans="12:14" ht="13.5" hidden="1">
      <c r="L88" s="44">
        <v>1000</v>
      </c>
      <c r="M88" s="39" t="s">
        <v>64</v>
      </c>
      <c r="N88" s="41">
        <v>4270</v>
      </c>
    </row>
    <row r="89" spans="12:14" ht="13.5" hidden="1">
      <c r="L89" s="44">
        <v>1100</v>
      </c>
      <c r="M89" s="39" t="s">
        <v>65</v>
      </c>
      <c r="N89" s="41">
        <v>5060</v>
      </c>
    </row>
    <row r="90" spans="12:14" ht="13.5" hidden="1">
      <c r="L90" s="44">
        <v>1200</v>
      </c>
      <c r="M90" s="39" t="s">
        <v>66</v>
      </c>
      <c r="N90" s="41">
        <v>5060</v>
      </c>
    </row>
    <row r="91" spans="12:14" ht="13.5" hidden="1">
      <c r="L91" s="44">
        <v>1300</v>
      </c>
      <c r="M91" s="39" t="s">
        <v>76</v>
      </c>
      <c r="N91" s="85">
        <v>5850</v>
      </c>
    </row>
    <row r="92" spans="12:14" ht="13.5" hidden="1">
      <c r="L92" s="44">
        <v>1400</v>
      </c>
      <c r="M92" s="39" t="s">
        <v>77</v>
      </c>
      <c r="N92" s="85">
        <v>5850</v>
      </c>
    </row>
    <row r="93" spans="12:14" ht="13.5" hidden="1">
      <c r="L93" s="44">
        <v>1500</v>
      </c>
      <c r="M93" s="39" t="s">
        <v>78</v>
      </c>
      <c r="N93" s="85">
        <v>5850</v>
      </c>
    </row>
    <row r="94" ht="13.5" hidden="1"/>
  </sheetData>
  <sheetProtection password="CE28" sheet="1" objects="1" scenarios="1" selectLockedCells="1"/>
  <mergeCells count="27">
    <mergeCell ref="E30:E31"/>
    <mergeCell ref="E26:E27"/>
    <mergeCell ref="D10:E10"/>
    <mergeCell ref="G60:H60"/>
    <mergeCell ref="C45:D45"/>
    <mergeCell ref="C46:D46"/>
    <mergeCell ref="C47:D47"/>
    <mergeCell ref="B60:D60"/>
    <mergeCell ref="E42:E43"/>
    <mergeCell ref="E38:E39"/>
    <mergeCell ref="E34:E35"/>
    <mergeCell ref="L8:P8"/>
    <mergeCell ref="R9:V9"/>
    <mergeCell ref="G21:H21"/>
    <mergeCell ref="G16:H17"/>
    <mergeCell ref="D4:E4"/>
    <mergeCell ref="E22:E23"/>
    <mergeCell ref="A2:F3"/>
    <mergeCell ref="L29:P29"/>
    <mergeCell ref="R29:V29"/>
    <mergeCell ref="L10:L11"/>
    <mergeCell ref="M10:P10"/>
    <mergeCell ref="S10:V10"/>
    <mergeCell ref="R8:V8"/>
    <mergeCell ref="L9:P9"/>
    <mergeCell ref="E18:E19"/>
    <mergeCell ref="B5:C5"/>
  </mergeCells>
  <dataValidations count="9">
    <dataValidation type="list" allowBlank="1" showInputMessage="1" showErrorMessage="1" sqref="H22 H27 H32">
      <formula1>$L$31:$L$34</formula1>
    </dataValidation>
    <dataValidation type="list" allowBlank="1" showInputMessage="1" showErrorMessage="1" sqref="H23 H28 H33">
      <formula1>$M$30:$P$30</formula1>
    </dataValidation>
    <dataValidation type="list" allowBlank="1" showInputMessage="1" showErrorMessage="1" sqref="D34:D35 D18:D19 D38:D39 D30:D31 D22:D23 D42:D43 D26:D27">
      <formula1>$M$11:$P$11</formula1>
    </dataValidation>
    <dataValidation type="whole" operator="greaterThanOrEqual" allowBlank="1" showInputMessage="1" showErrorMessage="1" sqref="E46:E47 H38">
      <formula1>0</formula1>
    </dataValidation>
    <dataValidation type="list" allowBlank="1" showInputMessage="1" showErrorMessage="1" sqref="E42 E38 E30 E22 E18 E26 E34">
      <formula1>$Q$12:$Q$21</formula1>
    </dataValidation>
    <dataValidation type="list" allowBlank="1" showInputMessage="1" showErrorMessage="1" sqref="C42:C43 C38:C39 C30:C31 C22:C23 C18:C19 C26:C27 C34:C35">
      <formula1>$L$12:$L$27</formula1>
    </dataValidation>
    <dataValidation type="list" allowBlank="1" showInputMessage="1" showErrorMessage="1" sqref="H24 H29 H34">
      <formula1>$Q$11:$Q$20</formula1>
    </dataValidation>
    <dataValidation type="list" allowBlank="1" showInputMessage="1" showErrorMessage="1" sqref="B5">
      <formula1>"ALCパネル、コンクリート壁,中空壁,床"</formula1>
    </dataValidation>
    <dataValidation type="list" allowBlank="1" showInputMessage="1" showErrorMessage="1" sqref="B6">
      <formula1>$Q$23:$Q$27</formula1>
    </dataValidation>
  </dataValidation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mirai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katou</dc:creator>
  <cp:keywords/>
  <dc:description/>
  <cp:lastModifiedBy>katou</cp:lastModifiedBy>
  <cp:lastPrinted>2014-04-24T02:02:38Z</cp:lastPrinted>
  <dcterms:created xsi:type="dcterms:W3CDTF">2013-11-28T03:07:20Z</dcterms:created>
  <dcterms:modified xsi:type="dcterms:W3CDTF">2017-07-24T23:35:16Z</dcterms:modified>
  <cp:category/>
  <cp:version/>
  <cp:contentType/>
  <cp:contentStatus/>
</cp:coreProperties>
</file>