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fficemirai-my.sharepoint.com/personal/kouzai-n_officemirai_onmicrosoft_com/Documents/デスクトップ/"/>
    </mc:Choice>
  </mc:AlternateContent>
  <xr:revisionPtr revIDLastSave="89" documentId="13_ncr:1_{80DE2DB8-734B-4800-9EF6-1608B1784735}" xr6:coauthVersionLast="47" xr6:coauthVersionMax="47" xr10:uidLastSave="{BBB3A000-3581-4088-84A9-8C37A57A1233}"/>
  <workbookProtection workbookAlgorithmName="SHA-512" workbookHashValue="zmbztze46kEeN/KNJnyWjIie1xcNR9ekDCHd+mJ2I4TdWrxSul7PKszbtiz4HCUSp0n7F7c4jHZzz+4ojlscCg==" workbookSaltValue="4Tcu+YJeuvh8hwcz7MOYrg==" workbookSpinCount="100000" lockStructure="1"/>
  <bookViews>
    <workbookView xWindow="-120" yWindow="-120" windowWidth="29040" windowHeight="15720" tabRatio="814" xr2:uid="{84E9A085-CBB0-4860-9BDF-40C59595BF46}"/>
  </bookViews>
  <sheets>
    <sheet name="選定表" sheetId="1" r:id="rId1"/>
    <sheet name="認定" sheetId="4" state="hidden" r:id="rId2"/>
    <sheet name="認定配管" sheetId="8" state="hidden" r:id="rId3"/>
    <sheet name="配管" sheetId="5" state="hidden" r:id="rId4"/>
  </sheets>
  <definedNames>
    <definedName name="_xlnm._FilterDatabase" localSheetId="2" hidden="1">認定配管!$W$4:$W$13</definedName>
    <definedName name="CD管">認定配管!$W$15:$W$21</definedName>
    <definedName name="CV_600V">認定配管!$R$30:$R$78</definedName>
    <definedName name="CV_6600V">認定配管!$R$79:$R$96</definedName>
    <definedName name="CVD_600V">認定配管!$R$97:$R$106</definedName>
    <definedName name="CVQ_600V">認定配管!$R$126:$R$134</definedName>
    <definedName name="CVT_600V">認定配管!$R$107:$R$116</definedName>
    <definedName name="CVT_6600V">認定配管!$R$117:$R$125</definedName>
    <definedName name="EM_600V_CE_F">認定配管!$R$135:$R$183</definedName>
    <definedName name="EM_600V_CED_F">認定配管!$R$184:$R$193</definedName>
    <definedName name="EM_600V_CEQ_F">認定配管!$R$204:$R$212</definedName>
    <definedName name="EM_600V_CET_F">認定配管!$R$194:$R$203</definedName>
    <definedName name="EM_600V_EEF_F">認定配管!$R$213:$R$218</definedName>
    <definedName name="EM_6600V_CE_F">認定配管!$R$219:$R$236</definedName>
    <definedName name="EM_6600V_CET_F">認定配管!$R$237:$R$245</definedName>
    <definedName name="EM_IE_F">認定配管!$R$246:$R$263</definedName>
    <definedName name="FEP">認定配管!$W$29:$W$34</definedName>
    <definedName name="HT">認定配管!$W$226:$W$231</definedName>
    <definedName name="HT_10㎜保温">認定配管!$W$232:$W$237</definedName>
    <definedName name="HT_20㎜保温">認定配管!$W$238:$W$243</definedName>
    <definedName name="IV">認定配管!$R$4:$R$21</definedName>
    <definedName name="MFX">認定配管!$W$35:$W$42</definedName>
    <definedName name="PERT_10㎜保温">認定配管!$W$177:$W$179</definedName>
    <definedName name="PERT_5㎜保温">認定配管!$W$174:$W$176</definedName>
    <definedName name="PF管">認定配管!$W$22:$W$28</definedName>
    <definedName name="_xlnm.Print_Area" localSheetId="0">選定表!$B$2:$K$46</definedName>
    <definedName name="_xlnm.Print_Titles" localSheetId="0">選定表!$24:$26</definedName>
    <definedName name="SGP">認定配管!$W$275:$W$287</definedName>
    <definedName name="SGP_10㎜保温">認定配管!$W$288:$W$295</definedName>
    <definedName name="SGP_20㎜保温">認定配管!$W$296:$W$303</definedName>
    <definedName name="SU">認定配管!$W$259:$W$262</definedName>
    <definedName name="SU_10㎜保温">認定配管!$W$263:$W$266</definedName>
    <definedName name="SU_20㎜保温">認定配管!$W$267:$W$270</definedName>
    <definedName name="VE管">認定配管!$W$4:$W$14</definedName>
    <definedName name="VP">認定配管!$W$196:$W$205</definedName>
    <definedName name="VP_10㎜保温">認定配管!$W$206:$W$215</definedName>
    <definedName name="VP_20㎜保温">認定配管!$W$216:$W$225</definedName>
    <definedName name="VU">認定配管!$W$244:$W$248</definedName>
    <definedName name="VU_10㎜保温">認定配管!$W$249:$W$253</definedName>
    <definedName name="VU_20㎜保温">認定配管!$W$254:$W$258</definedName>
    <definedName name="VVF_600V">認定配管!$R$22:$R$29</definedName>
    <definedName name="アルミニウム管_10㎜保温">認定配管!$M$32:$M$42</definedName>
    <definedName name="アルミニウム管_20㎜保温">認定配管!$M$43:$M$53</definedName>
    <definedName name="アルミニウム管_8㎜保温">認定配管!$M$29:$M$31</definedName>
    <definedName name="エラストマー被覆架橋ポリエチレン管">認定配管!$W$162:$W$165</definedName>
    <definedName name="ケーブル断面積">認定配管!$S$4:$U$495</definedName>
    <definedName name="コルゲート付ポリブデン管">認定配管!$W$170:$W$173</definedName>
    <definedName name="さや管">認定配管!$W$91:$W$100</definedName>
    <definedName name="さや管_10㎜保温">認定配管!$W$109:$W$116</definedName>
    <definedName name="さや管_5㎜保温">認定配管!$W$101:$W$108</definedName>
    <definedName name="ステンレス鋼管">認定配管!$W$304:$W$315</definedName>
    <definedName name="ステンレス鋼管_保温10㎜">認定配管!$W$316:$W$329</definedName>
    <definedName name="ステンレス鋼管_保温20㎜">認定配管!$W$323:$W$329</definedName>
    <definedName name="ドレンホース">認定配管!$W$89:$W$90</definedName>
    <definedName name="ポリブテン管_10㎜保温">認定配管!$W$152:$W$156</definedName>
    <definedName name="ポリブテン管_20㎜保温">認定配管!$W$157:$W$161</definedName>
    <definedName name="ポリブテン管_5㎜保温">認定配管!$W$147:$W$151</definedName>
    <definedName name="マシンフレキ">認定配管!$W$43:$W$50</definedName>
    <definedName name="リサイクル硬質塩ビ三層管">認定配管!$W$271:$W$274</definedName>
    <definedName name="架橋ポリエチレン管_10㎜保温">認定配管!$W$123:$W$128</definedName>
    <definedName name="架橋ポリエチレン管_20㎜保温">認定配管!$W$129:$W$134</definedName>
    <definedName name="架橋ポリエチレン管_5㎜保温">認定配管!$W$117:$W$122</definedName>
    <definedName name="金属強化ポリエチレン管">認定配管!$W$180:$W$184</definedName>
    <definedName name="金属強化ポリエチレン管_10㎜保温">認定配管!$W$185:$W$189</definedName>
    <definedName name="金属強化ポリエチレン管_20㎜保温">認定配管!$W$190:$W$194</definedName>
    <definedName name="金属製可とう電線管">認定配管!$W$68:$W$79</definedName>
    <definedName name="結露防止層付ドレンパイプ">認定配管!$W$80:$W$85</definedName>
    <definedName name="厚鋼電線管">認定配管!$W$51:$W$60</definedName>
    <definedName name="高耐熱フッ素樹脂ホース_10㎜保温">認定配管!$W$195</definedName>
    <definedName name="床_スリーブあり">認定配管!$H$4:$H$21</definedName>
    <definedName name="床_スリーブなし_ALC">認定配管!$J$4:$J$21</definedName>
    <definedName name="床_スリーブなし_RC">認定配管!$I$4:$I$21</definedName>
    <definedName name="断熱ドレンホース">認定配管!$W$86:$W$88</definedName>
    <definedName name="中空壁">認定配管!$D$4:$D$14</definedName>
    <definedName name="中空壁_床置工法">認定配管!$E$4:$E$14</definedName>
    <definedName name="同軸">認定配管!$R$214:$R$224</definedName>
    <definedName name="銅管_10㎜保温">認定配管!$M$7:$M$17</definedName>
    <definedName name="銅管_20㎜保温">認定配管!$M$18:$M$28</definedName>
    <definedName name="銅管_8㎜保温">認定配管!$M$4:$M$6</definedName>
    <definedName name="銅管_建築・水道用">認定配管!$W$330:$W$336</definedName>
    <definedName name="銅管_建築・水道用_保温10㎜">認定配管!$W$337:$W$343</definedName>
    <definedName name="銅管_建築・水道用_保温20㎜">認定配管!$W$344:$W$350</definedName>
    <definedName name="二層架橋ポリエチレン管_20㎜保温">認定配管!$W$143:$W$146</definedName>
    <definedName name="二層架橋ポリエチレン管_5㎜保温">認定配管!$W$135:$W$138</definedName>
    <definedName name="配管">認定配管!$L$4:$L$103</definedName>
    <definedName name="配管断面積">認定配管!$X$4:$Z$374</definedName>
    <definedName name="薄鋼_ねじなし電線管">認定配管!$W$61:$W$67</definedName>
    <definedName name="被覆銅管_建築・水道用">認定配管!$W$351:$W$354</definedName>
    <definedName name="壁">認定配管!$B$4:$B$14</definedName>
    <definedName name="壁_床置工法">認定配管!$C$4:$C$14</definedName>
    <definedName name="片面壁">認定配管!$F$4:$F$21</definedName>
    <definedName name="片面壁_床置工法">認定配管!$G$4:$G$21</definedName>
    <definedName name="冷媒管">認定配管!$K$4:$K$111</definedName>
    <definedName name="冷媒管断面積">認定配管!$N$4:$O$53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10" i="1"/>
  <c r="I11" i="1"/>
  <c r="U27" i="1" l="1"/>
  <c r="J12" i="1"/>
  <c r="V23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W23" i="1"/>
  <c r="W28" i="1" l="1"/>
  <c r="AB28" i="1"/>
  <c r="W29" i="1"/>
  <c r="AB29" i="1"/>
  <c r="W30" i="1"/>
  <c r="AB30" i="1"/>
  <c r="W31" i="1"/>
  <c r="AB31" i="1"/>
  <c r="W32" i="1"/>
  <c r="AB32" i="1"/>
  <c r="W33" i="1"/>
  <c r="AB33" i="1"/>
  <c r="W34" i="1"/>
  <c r="AB34" i="1"/>
  <c r="W35" i="1"/>
  <c r="AB35" i="1"/>
  <c r="W36" i="1"/>
  <c r="AB36" i="1"/>
  <c r="W37" i="1"/>
  <c r="AB37" i="1"/>
  <c r="W38" i="1"/>
  <c r="AB38" i="1"/>
  <c r="W39" i="1"/>
  <c r="AB39" i="1"/>
  <c r="W40" i="1"/>
  <c r="AB40" i="1"/>
  <c r="W41" i="1"/>
  <c r="AB41" i="1"/>
  <c r="W42" i="1"/>
  <c r="AB42" i="1"/>
  <c r="W43" i="1"/>
  <c r="AB43" i="1"/>
  <c r="W44" i="1"/>
  <c r="AB44" i="1"/>
  <c r="W45" i="1"/>
  <c r="AB45" i="1"/>
  <c r="W46" i="1"/>
  <c r="AB46" i="1"/>
  <c r="AB27" i="1"/>
  <c r="W27" i="1"/>
  <c r="V46" i="1"/>
  <c r="V27" i="1"/>
  <c r="V31" i="1"/>
  <c r="V45" i="1"/>
  <c r="V43" i="1"/>
  <c r="V42" i="1"/>
  <c r="V41" i="1"/>
  <c r="V40" i="1"/>
  <c r="V39" i="1"/>
  <c r="V37" i="1"/>
  <c r="V36" i="1"/>
  <c r="V35" i="1"/>
  <c r="V30" i="1"/>
  <c r="V29" i="1"/>
  <c r="V44" i="1"/>
  <c r="V38" i="1"/>
  <c r="V34" i="1"/>
  <c r="V33" i="1"/>
  <c r="V32" i="1"/>
  <c r="V28" i="1"/>
  <c r="D24" i="1"/>
  <c r="E24" i="1"/>
  <c r="R27" i="1" s="1"/>
  <c r="Y22" i="1"/>
  <c r="I15" i="1"/>
  <c r="H15" i="1" s="1"/>
  <c r="X27" i="1"/>
  <c r="F89" i="5"/>
  <c r="F90" i="5"/>
  <c r="F91" i="5"/>
  <c r="F92" i="5"/>
  <c r="F93" i="5"/>
  <c r="F94" i="5"/>
  <c r="F95" i="5"/>
  <c r="F96" i="5"/>
  <c r="F97" i="5"/>
  <c r="F98" i="5"/>
  <c r="F99" i="5"/>
  <c r="F88" i="5"/>
  <c r="I13" i="1"/>
  <c r="I12" i="1"/>
  <c r="F8" i="1"/>
  <c r="K12" i="1"/>
  <c r="U23" i="1" l="1"/>
  <c r="V24" i="1"/>
  <c r="I9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O27" i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R24" i="1"/>
  <c r="O24" i="1"/>
  <c r="L24" i="1"/>
  <c r="L27" i="1"/>
  <c r="M27" i="1" s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S43" i="1" l="1"/>
  <c r="N33" i="8"/>
  <c r="N34" i="8"/>
  <c r="N35" i="8"/>
  <c r="N36" i="8"/>
  <c r="N18" i="8"/>
  <c r="N19" i="8"/>
  <c r="N20" i="8"/>
  <c r="N21" i="8"/>
  <c r="N28" i="1"/>
  <c r="Q28" i="1"/>
  <c r="T28" i="1"/>
  <c r="X28" i="1"/>
  <c r="N29" i="1"/>
  <c r="Q29" i="1"/>
  <c r="T29" i="1"/>
  <c r="X29" i="1"/>
  <c r="Z29" i="1" s="1"/>
  <c r="N30" i="1"/>
  <c r="Q30" i="1"/>
  <c r="T30" i="1"/>
  <c r="X30" i="1"/>
  <c r="N31" i="1"/>
  <c r="Q31" i="1"/>
  <c r="T31" i="1"/>
  <c r="X31" i="1"/>
  <c r="N32" i="1"/>
  <c r="Q32" i="1"/>
  <c r="T32" i="1"/>
  <c r="X32" i="1"/>
  <c r="N33" i="1"/>
  <c r="Q33" i="1"/>
  <c r="T33" i="1"/>
  <c r="X33" i="1"/>
  <c r="N34" i="1"/>
  <c r="Q34" i="1"/>
  <c r="T34" i="1"/>
  <c r="X34" i="1"/>
  <c r="N35" i="1"/>
  <c r="Q35" i="1"/>
  <c r="T35" i="1"/>
  <c r="X35" i="1"/>
  <c r="N36" i="1"/>
  <c r="Q36" i="1"/>
  <c r="T36" i="1"/>
  <c r="X36" i="1"/>
  <c r="N37" i="1"/>
  <c r="Q37" i="1"/>
  <c r="T37" i="1"/>
  <c r="X37" i="1"/>
  <c r="N38" i="1"/>
  <c r="Q38" i="1"/>
  <c r="T38" i="1"/>
  <c r="X38" i="1"/>
  <c r="N39" i="1"/>
  <c r="Q39" i="1"/>
  <c r="T39" i="1"/>
  <c r="X39" i="1"/>
  <c r="N40" i="1"/>
  <c r="Q40" i="1"/>
  <c r="T40" i="1"/>
  <c r="X40" i="1"/>
  <c r="N41" i="1"/>
  <c r="Q41" i="1"/>
  <c r="T41" i="1"/>
  <c r="X41" i="1"/>
  <c r="N42" i="1"/>
  <c r="Q42" i="1"/>
  <c r="T42" i="1"/>
  <c r="X42" i="1"/>
  <c r="N43" i="1"/>
  <c r="Q43" i="1"/>
  <c r="T43" i="1"/>
  <c r="X43" i="1"/>
  <c r="N44" i="1"/>
  <c r="Q44" i="1"/>
  <c r="T44" i="1"/>
  <c r="X44" i="1"/>
  <c r="N45" i="1"/>
  <c r="Q45" i="1"/>
  <c r="T45" i="1"/>
  <c r="X45" i="1"/>
  <c r="N46" i="1"/>
  <c r="Q46" i="1"/>
  <c r="T46" i="1"/>
  <c r="X46" i="1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2" i="8"/>
  <c r="N31" i="8"/>
  <c r="N30" i="8"/>
  <c r="N29" i="8"/>
  <c r="N28" i="8"/>
  <c r="N27" i="8"/>
  <c r="N26" i="8"/>
  <c r="N25" i="8"/>
  <c r="N24" i="8"/>
  <c r="N23" i="8"/>
  <c r="N22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Y44" i="1" l="1"/>
  <c r="Z44" i="1"/>
  <c r="Y40" i="1"/>
  <c r="Z40" i="1"/>
  <c r="Y36" i="1"/>
  <c r="Z36" i="1"/>
  <c r="Y32" i="1"/>
  <c r="Z32" i="1"/>
  <c r="Y43" i="1"/>
  <c r="Z43" i="1"/>
  <c r="Y39" i="1"/>
  <c r="Z39" i="1"/>
  <c r="Y35" i="1"/>
  <c r="Z35" i="1"/>
  <c r="Y31" i="1"/>
  <c r="Z31" i="1"/>
  <c r="Y46" i="1"/>
  <c r="Z46" i="1"/>
  <c r="Y42" i="1"/>
  <c r="Z42" i="1"/>
  <c r="Y38" i="1"/>
  <c r="Z38" i="1"/>
  <c r="Y34" i="1"/>
  <c r="Z34" i="1"/>
  <c r="Y30" i="1"/>
  <c r="Z30" i="1"/>
  <c r="Y45" i="1"/>
  <c r="Z45" i="1"/>
  <c r="Y41" i="1"/>
  <c r="Z41" i="1"/>
  <c r="Y37" i="1"/>
  <c r="Z37" i="1"/>
  <c r="Y33" i="1"/>
  <c r="Z33" i="1"/>
  <c r="Y28" i="1"/>
  <c r="Z28" i="1"/>
  <c r="S28" i="1"/>
  <c r="S44" i="1"/>
  <c r="M46" i="1"/>
  <c r="S42" i="1"/>
  <c r="S41" i="1"/>
  <c r="S38" i="1"/>
  <c r="S36" i="1"/>
  <c r="M35" i="1"/>
  <c r="M33" i="1"/>
  <c r="M32" i="1"/>
  <c r="S29" i="1"/>
  <c r="M28" i="1"/>
  <c r="M30" i="1"/>
  <c r="M36" i="1"/>
  <c r="M44" i="1"/>
  <c r="M43" i="1"/>
  <c r="S40" i="1"/>
  <c r="S39" i="1"/>
  <c r="S32" i="1"/>
  <c r="M40" i="1"/>
  <c r="M39" i="1"/>
  <c r="S33" i="1"/>
  <c r="S31" i="1"/>
  <c r="M37" i="1"/>
  <c r="S30" i="1"/>
  <c r="M31" i="1"/>
  <c r="M29" i="1"/>
  <c r="M45" i="1"/>
  <c r="M42" i="1"/>
  <c r="S37" i="1"/>
  <c r="M38" i="1"/>
  <c r="S35" i="1"/>
  <c r="S34" i="1"/>
  <c r="S46" i="1"/>
  <c r="S45" i="1"/>
  <c r="M34" i="1"/>
  <c r="M41" i="1"/>
  <c r="G11" i="1"/>
  <c r="X80" i="8"/>
  <c r="T27" i="1"/>
  <c r="Q27" i="1"/>
  <c r="N27" i="1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156" i="8"/>
  <c r="X157" i="8"/>
  <c r="X158" i="8"/>
  <c r="X159" i="8"/>
  <c r="X160" i="8"/>
  <c r="X161" i="8"/>
  <c r="X162" i="8"/>
  <c r="X163" i="8"/>
  <c r="X164" i="8"/>
  <c r="X165" i="8"/>
  <c r="X166" i="8"/>
  <c r="X167" i="8"/>
  <c r="X168" i="8"/>
  <c r="X169" i="8"/>
  <c r="X170" i="8"/>
  <c r="X171" i="8"/>
  <c r="X172" i="8"/>
  <c r="X173" i="8"/>
  <c r="X174" i="8"/>
  <c r="X175" i="8"/>
  <c r="X176" i="8"/>
  <c r="X177" i="8"/>
  <c r="X178" i="8"/>
  <c r="X179" i="8"/>
  <c r="X180" i="8"/>
  <c r="X181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X223" i="8"/>
  <c r="X224" i="8"/>
  <c r="X225" i="8"/>
  <c r="X226" i="8"/>
  <c r="X227" i="8"/>
  <c r="X228" i="8"/>
  <c r="X229" i="8"/>
  <c r="X230" i="8"/>
  <c r="X231" i="8"/>
  <c r="X232" i="8"/>
  <c r="X233" i="8"/>
  <c r="X234" i="8"/>
  <c r="X235" i="8"/>
  <c r="X236" i="8"/>
  <c r="X237" i="8"/>
  <c r="X238" i="8"/>
  <c r="X239" i="8"/>
  <c r="X240" i="8"/>
  <c r="X241" i="8"/>
  <c r="X242" i="8"/>
  <c r="X243" i="8"/>
  <c r="X244" i="8"/>
  <c r="X245" i="8"/>
  <c r="X246" i="8"/>
  <c r="X247" i="8"/>
  <c r="X248" i="8"/>
  <c r="X249" i="8"/>
  <c r="X250" i="8"/>
  <c r="X251" i="8"/>
  <c r="X252" i="8"/>
  <c r="X253" i="8"/>
  <c r="X254" i="8"/>
  <c r="X255" i="8"/>
  <c r="X256" i="8"/>
  <c r="X257" i="8"/>
  <c r="X258" i="8"/>
  <c r="X259" i="8"/>
  <c r="X260" i="8"/>
  <c r="X261" i="8"/>
  <c r="X262" i="8"/>
  <c r="X263" i="8"/>
  <c r="X264" i="8"/>
  <c r="X265" i="8"/>
  <c r="X266" i="8"/>
  <c r="X267" i="8"/>
  <c r="X268" i="8"/>
  <c r="X269" i="8"/>
  <c r="X270" i="8"/>
  <c r="X271" i="8"/>
  <c r="X272" i="8"/>
  <c r="X273" i="8"/>
  <c r="X274" i="8"/>
  <c r="X275" i="8"/>
  <c r="X276" i="8"/>
  <c r="X277" i="8"/>
  <c r="X278" i="8"/>
  <c r="X279" i="8"/>
  <c r="X280" i="8"/>
  <c r="X281" i="8"/>
  <c r="X282" i="8"/>
  <c r="X283" i="8"/>
  <c r="X284" i="8"/>
  <c r="X285" i="8"/>
  <c r="X286" i="8"/>
  <c r="X287" i="8"/>
  <c r="X288" i="8"/>
  <c r="X289" i="8"/>
  <c r="X290" i="8"/>
  <c r="X291" i="8"/>
  <c r="X292" i="8"/>
  <c r="X293" i="8"/>
  <c r="X294" i="8"/>
  <c r="X295" i="8"/>
  <c r="X296" i="8"/>
  <c r="X297" i="8"/>
  <c r="X298" i="8"/>
  <c r="X299" i="8"/>
  <c r="X300" i="8"/>
  <c r="X301" i="8"/>
  <c r="X302" i="8"/>
  <c r="X303" i="8"/>
  <c r="X304" i="8"/>
  <c r="X305" i="8"/>
  <c r="X306" i="8"/>
  <c r="X307" i="8"/>
  <c r="X308" i="8"/>
  <c r="X309" i="8"/>
  <c r="X310" i="8"/>
  <c r="X311" i="8"/>
  <c r="X312" i="8"/>
  <c r="X313" i="8"/>
  <c r="X314" i="8"/>
  <c r="X315" i="8"/>
  <c r="X316" i="8"/>
  <c r="X317" i="8"/>
  <c r="X318" i="8"/>
  <c r="X319" i="8"/>
  <c r="X320" i="8"/>
  <c r="X321" i="8"/>
  <c r="X322" i="8"/>
  <c r="X323" i="8"/>
  <c r="X324" i="8"/>
  <c r="X325" i="8"/>
  <c r="X326" i="8"/>
  <c r="X327" i="8"/>
  <c r="X328" i="8"/>
  <c r="X329" i="8"/>
  <c r="X330" i="8"/>
  <c r="X331" i="8"/>
  <c r="X332" i="8"/>
  <c r="X333" i="8"/>
  <c r="X334" i="8"/>
  <c r="X335" i="8"/>
  <c r="X336" i="8"/>
  <c r="X337" i="8"/>
  <c r="X338" i="8"/>
  <c r="X339" i="8"/>
  <c r="X340" i="8"/>
  <c r="X341" i="8"/>
  <c r="X342" i="8"/>
  <c r="X343" i="8"/>
  <c r="X344" i="8"/>
  <c r="X345" i="8"/>
  <c r="X346" i="8"/>
  <c r="X347" i="8"/>
  <c r="X348" i="8"/>
  <c r="X349" i="8"/>
  <c r="X350" i="8"/>
  <c r="X351" i="8"/>
  <c r="X352" i="8"/>
  <c r="X353" i="8"/>
  <c r="X354" i="8"/>
  <c r="X4" i="8"/>
  <c r="AA34" i="1" l="1"/>
  <c r="Z27" i="1"/>
  <c r="Z22" i="1" s="1"/>
  <c r="Y29" i="1"/>
  <c r="AA29" i="1" s="1"/>
  <c r="Y27" i="1"/>
  <c r="AA41" i="1"/>
  <c r="AA28" i="1"/>
  <c r="T22" i="1"/>
  <c r="J13" i="1" s="1"/>
  <c r="AA39" i="1"/>
  <c r="AA43" i="1"/>
  <c r="AA40" i="1"/>
  <c r="AA32" i="1"/>
  <c r="AA30" i="1"/>
  <c r="AA33" i="1"/>
  <c r="AA35" i="1"/>
  <c r="AA46" i="1"/>
  <c r="AA42" i="1"/>
  <c r="AA38" i="1"/>
  <c r="AA44" i="1"/>
  <c r="AA37" i="1"/>
  <c r="AA45" i="1"/>
  <c r="AA36" i="1"/>
  <c r="AA31" i="1"/>
  <c r="K10" i="1" l="1"/>
  <c r="I10" i="1"/>
  <c r="J10" i="1"/>
  <c r="Y23" i="1"/>
  <c r="K13" i="1"/>
  <c r="S27" i="1"/>
  <c r="P27" i="1"/>
  <c r="F14" i="1" l="1"/>
  <c r="G14" i="1"/>
  <c r="H14" i="1" s="1"/>
  <c r="W24" i="1"/>
  <c r="B12" i="1"/>
  <c r="B13" i="1" s="1"/>
  <c r="AA27" i="1"/>
  <c r="AA22" i="1" l="1"/>
  <c r="G12" i="1" s="1"/>
  <c r="H12" i="1" s="1"/>
  <c r="C16" i="1"/>
  <c r="C11" i="1"/>
  <c r="G10" i="1" l="1"/>
  <c r="B22" i="1" s="1"/>
  <c r="C13" i="1"/>
  <c r="D13" i="1" s="1"/>
  <c r="C14" i="1"/>
  <c r="D14" i="1" s="1"/>
  <c r="B14" i="1"/>
  <c r="G4" i="1"/>
  <c r="D11" i="1"/>
  <c r="H11" i="1" l="1"/>
  <c r="J8" i="1" l="1"/>
  <c r="K8" i="1" s="1"/>
  <c r="K9" i="1"/>
  <c r="K7" i="1"/>
  <c r="J9" i="1"/>
  <c r="J7" i="1"/>
  <c r="D10" i="1" l="1"/>
  <c r="H6" i="1" l="1"/>
  <c r="H7" i="1"/>
  <c r="H10" i="1" l="1"/>
  <c r="H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香西信宏</author>
  </authors>
  <commentList>
    <comment ref="C24" authorId="0" shapeId="0" xr:uid="{440F12B2-25F3-4ADC-98F1-92204DC545EB}">
      <text>
        <r>
          <rPr>
            <sz val="9"/>
            <color indexed="81"/>
            <rFont val="MS P ゴシック"/>
            <family val="3"/>
            <charset val="128"/>
          </rPr>
          <t>配管種を選択</t>
        </r>
      </text>
    </comment>
    <comment ref="C25" authorId="0" shapeId="0" xr:uid="{1BAB3262-2341-4E40-AE9F-B9AE1BE85669}">
      <text>
        <r>
          <rPr>
            <sz val="9"/>
            <color indexed="81"/>
            <rFont val="MS P ゴシック"/>
            <family val="3"/>
            <charset val="128"/>
          </rPr>
          <t>保温厚を選択(シングル)</t>
        </r>
      </text>
    </comment>
    <comment ref="D25" authorId="0" shapeId="0" xr:uid="{87B215DE-4014-4D21-8D6D-0DBA98C7EAB9}">
      <text>
        <r>
          <rPr>
            <sz val="9"/>
            <color indexed="81"/>
            <rFont val="MS P ゴシック"/>
            <family val="3"/>
            <charset val="128"/>
          </rPr>
          <t>保温厚を選択(ダブル)</t>
        </r>
      </text>
    </comment>
    <comment ref="E25" authorId="0" shapeId="0" xr:uid="{F89CEAE2-C4C8-4DBC-98D7-1BB4E8A65A5E}">
      <text>
        <r>
          <rPr>
            <sz val="9"/>
            <color indexed="81"/>
            <rFont val="MS P ゴシック"/>
            <family val="3"/>
            <charset val="128"/>
          </rPr>
          <t>保温厚を選択(トリプル)</t>
        </r>
      </text>
    </comment>
  </commentList>
</comments>
</file>

<file path=xl/sharedStrings.xml><?xml version="1.0" encoding="utf-8"?>
<sst xmlns="http://schemas.openxmlformats.org/spreadsheetml/2006/main" count="2273" uniqueCount="838">
  <si>
    <t>机上論の数値では施工可能でも、実際の施工では施工できない事もありますので、
特に認定占積率がギリギリの場合は、配管イメージ図を使って可能か確認してください。</t>
    <phoneticPr fontId="2"/>
  </si>
  <si>
    <t>矩形開口　耐火部材部材選定</t>
    <rPh sb="0" eb="4">
      <t>クケイカイコウ</t>
    </rPh>
    <rPh sb="5" eb="9">
      <t>タイカブザイ</t>
    </rPh>
    <rPh sb="9" eb="13">
      <t>ブザイセンテイ</t>
    </rPh>
    <phoneticPr fontId="2"/>
  </si>
  <si>
    <t>貫通箇所構造</t>
    <rPh sb="0" eb="4">
      <t>カンツウカショ</t>
    </rPh>
    <rPh sb="4" eb="6">
      <t>コウゾウ</t>
    </rPh>
    <phoneticPr fontId="2"/>
  </si>
  <si>
    <t>認定占積率</t>
    <rPh sb="0" eb="2">
      <t>ニンテイ</t>
    </rPh>
    <rPh sb="2" eb="5">
      <t>センセキリツ</t>
    </rPh>
    <phoneticPr fontId="2"/>
  </si>
  <si>
    <t>認定最大面積</t>
    <rPh sb="0" eb="2">
      <t>ニンテイ</t>
    </rPh>
    <rPh sb="2" eb="4">
      <t>サイダイ</t>
    </rPh>
    <rPh sb="4" eb="6">
      <t>メンセキ</t>
    </rPh>
    <phoneticPr fontId="2"/>
  </si>
  <si>
    <t>品 名</t>
    <rPh sb="0" eb="1">
      <t>ヒン</t>
    </rPh>
    <rPh sb="2" eb="3">
      <t>ナ</t>
    </rPh>
    <phoneticPr fontId="2"/>
  </si>
  <si>
    <t>数 量</t>
    <rPh sb="0" eb="1">
      <t>カズ</t>
    </rPh>
    <rPh sb="2" eb="3">
      <t>リョウ</t>
    </rPh>
    <phoneticPr fontId="2"/>
  </si>
  <si>
    <t>構造体厚さ</t>
    <rPh sb="0" eb="3">
      <t>コウゾウタイ</t>
    </rPh>
    <rPh sb="3" eb="4">
      <t>アツ</t>
    </rPh>
    <phoneticPr fontId="2"/>
  </si>
  <si>
    <t>キット品</t>
    <rPh sb="3" eb="4">
      <t>ヒン</t>
    </rPh>
    <phoneticPr fontId="2"/>
  </si>
  <si>
    <t>開口寸法　Ｗ</t>
    <rPh sb="0" eb="4">
      <t>カイコウスンポウ</t>
    </rPh>
    <phoneticPr fontId="2"/>
  </si>
  <si>
    <t>開口寸法　Ｈ</t>
    <rPh sb="0" eb="4">
      <t>カイコウスンポウ</t>
    </rPh>
    <phoneticPr fontId="2"/>
  </si>
  <si>
    <t>開口面積</t>
    <rPh sb="0" eb="4">
      <t>カイコウメンセキ</t>
    </rPh>
    <phoneticPr fontId="2"/>
  </si>
  <si>
    <t>占 積 率</t>
    <rPh sb="0" eb="1">
      <t>ウラナイ</t>
    </rPh>
    <rPh sb="2" eb="3">
      <t>セキ</t>
    </rPh>
    <rPh sb="4" eb="5">
      <t>リツ</t>
    </rPh>
    <phoneticPr fontId="2"/>
  </si>
  <si>
    <t>判 定</t>
    <rPh sb="0" eb="1">
      <t>ハン</t>
    </rPh>
    <rPh sb="2" eb="3">
      <t>サダム</t>
    </rPh>
    <phoneticPr fontId="2"/>
  </si>
  <si>
    <t>開口箇所</t>
    <rPh sb="0" eb="4">
      <t>カイコウカショ</t>
    </rPh>
    <phoneticPr fontId="2"/>
  </si>
  <si>
    <t>二層架橋ポリエチレン管_20㎜保温</t>
    <rPh sb="0" eb="1">
      <t>ニ</t>
    </rPh>
    <rPh sb="1" eb="2">
      <t>ソウ</t>
    </rPh>
    <rPh sb="2" eb="4">
      <t>カキョウ</t>
    </rPh>
    <rPh sb="10" eb="11">
      <t>カン</t>
    </rPh>
    <phoneticPr fontId="2"/>
  </si>
  <si>
    <t>架橋ポリエチレン管_5㎜保温</t>
    <rPh sb="0" eb="2">
      <t>カキョウ</t>
    </rPh>
    <rPh sb="8" eb="9">
      <t>カン</t>
    </rPh>
    <phoneticPr fontId="2"/>
  </si>
  <si>
    <t>ケーブル_VCT_600V</t>
  </si>
  <si>
    <t>本数</t>
    <rPh sb="0" eb="2">
      <t>ホンスウ</t>
    </rPh>
    <phoneticPr fontId="2"/>
  </si>
  <si>
    <t>列1</t>
  </si>
  <si>
    <t>列3</t>
  </si>
  <si>
    <t>列6</t>
  </si>
  <si>
    <t>列7</t>
  </si>
  <si>
    <t>列62</t>
  </si>
  <si>
    <t>認定番号</t>
    <rPh sb="0" eb="4">
      <t>ニンテイバンゴウ</t>
    </rPh>
    <phoneticPr fontId="2"/>
  </si>
  <si>
    <t>品番</t>
    <rPh sb="0" eb="2">
      <t>ヒンバン</t>
    </rPh>
    <phoneticPr fontId="2"/>
  </si>
  <si>
    <t>占積率</t>
    <rPh sb="0" eb="3">
      <t>センセキリツ</t>
    </rPh>
    <phoneticPr fontId="2"/>
  </si>
  <si>
    <t>ケーブル_2PNCT_600V</t>
  </si>
  <si>
    <t>構造体厚さ</t>
    <rPh sb="0" eb="4">
      <t>コウゾウタイアツ</t>
    </rPh>
    <phoneticPr fontId="2"/>
  </si>
  <si>
    <t>断面積</t>
    <rPh sb="0" eb="3">
      <t>ダンメンセキ</t>
    </rPh>
    <phoneticPr fontId="2"/>
  </si>
  <si>
    <t>壁</t>
    <rPh sb="0" eb="1">
      <t>カベ</t>
    </rPh>
    <phoneticPr fontId="2"/>
  </si>
  <si>
    <t>PS060WL-1257-1</t>
    <phoneticPr fontId="2"/>
  </si>
  <si>
    <t>片面壁</t>
    <rPh sb="0" eb="2">
      <t>カタメン</t>
    </rPh>
    <rPh sb="2" eb="3">
      <t>カベ</t>
    </rPh>
    <phoneticPr fontId="2"/>
  </si>
  <si>
    <t>PS060WL-1260-1</t>
    <phoneticPr fontId="2"/>
  </si>
  <si>
    <t>PS060FL-1279</t>
    <phoneticPr fontId="2"/>
  </si>
  <si>
    <t>品番</t>
  </si>
  <si>
    <t>1次店単価</t>
    <rPh sb="1" eb="3">
      <t>ジテン</t>
    </rPh>
    <rPh sb="3" eb="5">
      <t>タンカ</t>
    </rPh>
    <phoneticPr fontId="3"/>
  </si>
  <si>
    <t>2次店単価</t>
    <rPh sb="1" eb="3">
      <t>ジテン</t>
    </rPh>
    <rPh sb="3" eb="5">
      <t>タンカ</t>
    </rPh>
    <phoneticPr fontId="3"/>
  </si>
  <si>
    <t>標準価格</t>
  </si>
  <si>
    <t>TK-FK004</t>
  </si>
  <si>
    <t>TK-FK006</t>
  </si>
  <si>
    <t>TK-FK008</t>
  </si>
  <si>
    <t>TK-FK010</t>
  </si>
  <si>
    <t>TK-FK012</t>
  </si>
  <si>
    <t>TK-FK014</t>
  </si>
  <si>
    <t>TK-FK016</t>
  </si>
  <si>
    <t>TK-FK018</t>
  </si>
  <si>
    <t>TK-FK020</t>
  </si>
  <si>
    <t>TK-FK022</t>
  </si>
  <si>
    <t>TK-FK024</t>
  </si>
  <si>
    <t>TK-FZK004</t>
  </si>
  <si>
    <t>TK-FZK006</t>
  </si>
  <si>
    <t>TK-FZK008</t>
  </si>
  <si>
    <t>TK-FZK010</t>
  </si>
  <si>
    <t>TK-FZK012</t>
  </si>
  <si>
    <t>TK-FZK014</t>
  </si>
  <si>
    <t>TK-FZK016</t>
  </si>
  <si>
    <t>TK-FZK018</t>
  </si>
  <si>
    <t>TK-FZK020</t>
  </si>
  <si>
    <t>TK-FZK022</t>
  </si>
  <si>
    <t>TK-FZK024</t>
  </si>
  <si>
    <t>TK-FZK026</t>
  </si>
  <si>
    <t>TK-FZK028</t>
  </si>
  <si>
    <t>TK-FZK030</t>
  </si>
  <si>
    <t>MTKS-BL100</t>
  </si>
  <si>
    <t>MTKS-BL115</t>
  </si>
  <si>
    <t>MTKS-BL150</t>
  </si>
  <si>
    <t>MTKS-BL200</t>
  </si>
  <si>
    <t>TK-F10</t>
    <phoneticPr fontId="2"/>
  </si>
  <si>
    <t>TK-F40</t>
    <phoneticPr fontId="2"/>
  </si>
  <si>
    <t>TK-FHS</t>
    <phoneticPr fontId="2"/>
  </si>
  <si>
    <t>品番1</t>
    <phoneticPr fontId="2"/>
  </si>
  <si>
    <t>品番2</t>
  </si>
  <si>
    <t>数量1</t>
    <rPh sb="0" eb="2">
      <t>スウリョウ</t>
    </rPh>
    <phoneticPr fontId="2"/>
  </si>
  <si>
    <t>数量2</t>
    <rPh sb="0" eb="2">
      <t>スウリョウ</t>
    </rPh>
    <phoneticPr fontId="2"/>
  </si>
  <si>
    <t>中空壁厚</t>
    <rPh sb="0" eb="2">
      <t>チュウクウ</t>
    </rPh>
    <rPh sb="2" eb="4">
      <t>カベアツ</t>
    </rPh>
    <phoneticPr fontId="2"/>
  </si>
  <si>
    <t>MTKS-BL100</t>
    <phoneticPr fontId="2"/>
  </si>
  <si>
    <t>MTKS-BL115</t>
    <phoneticPr fontId="2"/>
  </si>
  <si>
    <t>MTKS-BL150</t>
    <phoneticPr fontId="2"/>
  </si>
  <si>
    <t>MTKS-BL200</t>
    <phoneticPr fontId="2"/>
  </si>
  <si>
    <t>該当なし</t>
    <rPh sb="0" eb="2">
      <t>ガイトウ</t>
    </rPh>
    <phoneticPr fontId="2"/>
  </si>
  <si>
    <t>貫通構造</t>
    <rPh sb="0" eb="4">
      <t>カンツウコウゾウ</t>
    </rPh>
    <phoneticPr fontId="2"/>
  </si>
  <si>
    <t>貫通構造2</t>
    <rPh sb="0" eb="2">
      <t>カンツウコウゾウ2</t>
    </rPh>
    <phoneticPr fontId="2"/>
  </si>
  <si>
    <t>必要部材</t>
    <rPh sb="0" eb="2">
      <t>ヒツヨウ</t>
    </rPh>
    <rPh sb="2" eb="4">
      <t>ブザイ</t>
    </rPh>
    <phoneticPr fontId="2"/>
  </si>
  <si>
    <t>W</t>
    <phoneticPr fontId="2"/>
  </si>
  <si>
    <t>H</t>
    <phoneticPr fontId="2"/>
  </si>
  <si>
    <t>ケーブル1本</t>
    <rPh sb="5" eb="6">
      <t>ホン</t>
    </rPh>
    <phoneticPr fontId="2"/>
  </si>
  <si>
    <t>ケーブル総合計</t>
    <rPh sb="4" eb="7">
      <t>ソウゴウケイ</t>
    </rPh>
    <phoneticPr fontId="2"/>
  </si>
  <si>
    <t>壁</t>
    <phoneticPr fontId="2"/>
  </si>
  <si>
    <t>ALC・RC・耐火構造(60分)・準耐火構造(60分)</t>
    <rPh sb="7" eb="9">
      <t>タイカ</t>
    </rPh>
    <rPh sb="9" eb="11">
      <t>コウゾウ</t>
    </rPh>
    <rPh sb="14" eb="15">
      <t>フン</t>
    </rPh>
    <rPh sb="17" eb="20">
      <t>ジュンタイカ</t>
    </rPh>
    <rPh sb="20" eb="22">
      <t>コウゾウ</t>
    </rPh>
    <phoneticPr fontId="2"/>
  </si>
  <si>
    <t>壁_床置工法</t>
    <rPh sb="2" eb="4">
      <t>ユカオ</t>
    </rPh>
    <rPh sb="4" eb="6">
      <t>コウホウ</t>
    </rPh>
    <phoneticPr fontId="2"/>
  </si>
  <si>
    <t>Ｌ金具</t>
    <rPh sb="1" eb="3">
      <t>カナグ</t>
    </rPh>
    <phoneticPr fontId="2"/>
  </si>
  <si>
    <t>中空壁_床置工法</t>
    <rPh sb="4" eb="6">
      <t>ユカオ</t>
    </rPh>
    <rPh sb="6" eb="8">
      <t>コウホウ</t>
    </rPh>
    <phoneticPr fontId="2"/>
  </si>
  <si>
    <t>片面壁</t>
    <phoneticPr fontId="2"/>
  </si>
  <si>
    <t>片面強化石膏ボード重張/軽量鉄骨下地間仕切壁</t>
    <rPh sb="0" eb="2">
      <t>カタメン</t>
    </rPh>
    <rPh sb="2" eb="4">
      <t>キョウカ</t>
    </rPh>
    <rPh sb="4" eb="6">
      <t>セッコウ</t>
    </rPh>
    <rPh sb="9" eb="11">
      <t>カサネバリ</t>
    </rPh>
    <rPh sb="12" eb="16">
      <t>ケイリョウテッコツ</t>
    </rPh>
    <rPh sb="16" eb="18">
      <t>シタジ</t>
    </rPh>
    <rPh sb="18" eb="21">
      <t>マジキリ</t>
    </rPh>
    <rPh sb="21" eb="22">
      <t>カベ</t>
    </rPh>
    <phoneticPr fontId="2"/>
  </si>
  <si>
    <t>片面壁_床置工法</t>
    <rPh sb="4" eb="5">
      <t>ユカ</t>
    </rPh>
    <rPh sb="5" eb="6">
      <t>チ</t>
    </rPh>
    <rPh sb="6" eb="8">
      <t>コウホウ</t>
    </rPh>
    <phoneticPr fontId="2"/>
  </si>
  <si>
    <t>床_スリーブあり</t>
    <phoneticPr fontId="2"/>
  </si>
  <si>
    <t>RC</t>
    <phoneticPr fontId="2"/>
  </si>
  <si>
    <t>角穴用金具</t>
    <rPh sb="0" eb="1">
      <t>カク</t>
    </rPh>
    <rPh sb="1" eb="2">
      <t>アナ</t>
    </rPh>
    <rPh sb="2" eb="3">
      <t>ヨウ</t>
    </rPh>
    <rPh sb="3" eb="5">
      <t>カナグ</t>
    </rPh>
    <phoneticPr fontId="2"/>
  </si>
  <si>
    <t>床_スリーブなし_RC</t>
    <phoneticPr fontId="2"/>
  </si>
  <si>
    <t>床_スリーブなし_ALC</t>
    <phoneticPr fontId="2"/>
  </si>
  <si>
    <t>ALC</t>
    <phoneticPr fontId="2"/>
  </si>
  <si>
    <t>壁・中空壁</t>
    <rPh sb="0" eb="1">
      <t>カベ</t>
    </rPh>
    <rPh sb="2" eb="5">
      <t>チュウクウカベ</t>
    </rPh>
    <phoneticPr fontId="2"/>
  </si>
  <si>
    <t>アルミニウム管_8㎜保温</t>
    <rPh sb="6" eb="7">
      <t>カン</t>
    </rPh>
    <rPh sb="10" eb="12">
      <t>ホオン</t>
    </rPh>
    <phoneticPr fontId="2"/>
  </si>
  <si>
    <t>アルミニウム管_10㎜保温</t>
    <rPh sb="6" eb="7">
      <t>カン</t>
    </rPh>
    <rPh sb="11" eb="13">
      <t>ホオン</t>
    </rPh>
    <phoneticPr fontId="2"/>
  </si>
  <si>
    <t>アルミニウム管_20㎜保温</t>
    <rPh sb="6" eb="7">
      <t>カン</t>
    </rPh>
    <rPh sb="11" eb="13">
      <t>ホオン</t>
    </rPh>
    <phoneticPr fontId="2"/>
  </si>
  <si>
    <t>ACドレン</t>
  </si>
  <si>
    <t>断熱ドレンホース</t>
    <rPh sb="0" eb="2">
      <t>ダンネツ</t>
    </rPh>
    <phoneticPr fontId="2"/>
  </si>
  <si>
    <t>サイズ</t>
    <phoneticPr fontId="2"/>
  </si>
  <si>
    <t>外径(㎜)</t>
    <rPh sb="0" eb="2">
      <t>ガイケイ</t>
    </rPh>
    <phoneticPr fontId="2"/>
  </si>
  <si>
    <t>断面積(㎟)</t>
    <rPh sb="0" eb="3">
      <t>ダンメンセキ</t>
    </rPh>
    <phoneticPr fontId="2"/>
  </si>
  <si>
    <t>呼び</t>
    <rPh sb="0" eb="1">
      <t>ヨ</t>
    </rPh>
    <phoneticPr fontId="2"/>
  </si>
  <si>
    <t>ドレンホース</t>
  </si>
  <si>
    <t>VE管</t>
    <rPh sb="2" eb="3">
      <t>カン</t>
    </rPh>
    <phoneticPr fontId="2"/>
  </si>
  <si>
    <t>CD管</t>
    <rPh sb="2" eb="3">
      <t>カン</t>
    </rPh>
    <phoneticPr fontId="2"/>
  </si>
  <si>
    <t>PF管</t>
    <rPh sb="2" eb="3">
      <t>カン</t>
    </rPh>
    <phoneticPr fontId="2"/>
  </si>
  <si>
    <t>FEP</t>
  </si>
  <si>
    <t>MFX</t>
  </si>
  <si>
    <t>マシンフレキ</t>
    <phoneticPr fontId="2"/>
  </si>
  <si>
    <t>厚鋼電線管</t>
  </si>
  <si>
    <t>薄鋼/ねじなし電線管</t>
    <phoneticPr fontId="2"/>
  </si>
  <si>
    <t>金属製可とう電線管</t>
    <rPh sb="0" eb="3">
      <t>キンゾクセイ</t>
    </rPh>
    <rPh sb="3" eb="4">
      <t>カ</t>
    </rPh>
    <rPh sb="6" eb="9">
      <t>デンセンカン</t>
    </rPh>
    <phoneticPr fontId="2"/>
  </si>
  <si>
    <t>ケーブル_VVF</t>
    <phoneticPr fontId="2"/>
  </si>
  <si>
    <t>FEP</t>
    <phoneticPr fontId="2"/>
  </si>
  <si>
    <t>MFX</t>
    <phoneticPr fontId="2"/>
  </si>
  <si>
    <t>厚鋼電線管</t>
    <phoneticPr fontId="2"/>
  </si>
  <si>
    <t>ケーブル_CT</t>
  </si>
  <si>
    <t>G16</t>
    <phoneticPr fontId="2"/>
  </si>
  <si>
    <t>C19・E19</t>
    <phoneticPr fontId="2"/>
  </si>
  <si>
    <t>ケーブル_2CT_600V</t>
  </si>
  <si>
    <t>G22</t>
    <phoneticPr fontId="2"/>
  </si>
  <si>
    <t>C25・E25</t>
    <phoneticPr fontId="2"/>
  </si>
  <si>
    <t>G28</t>
    <phoneticPr fontId="2"/>
  </si>
  <si>
    <t>C31・E31</t>
    <phoneticPr fontId="2"/>
  </si>
  <si>
    <t>ケーブル_CV</t>
    <phoneticPr fontId="2"/>
  </si>
  <si>
    <t>G36</t>
    <phoneticPr fontId="2"/>
  </si>
  <si>
    <t>C39・E39</t>
    <phoneticPr fontId="2"/>
  </si>
  <si>
    <t>ケーブル_CVD_600V</t>
  </si>
  <si>
    <t>G42</t>
    <phoneticPr fontId="2"/>
  </si>
  <si>
    <t>C51・E51</t>
    <phoneticPr fontId="2"/>
  </si>
  <si>
    <t>ケーブル_CVT_600V</t>
  </si>
  <si>
    <t>G54</t>
    <phoneticPr fontId="2"/>
  </si>
  <si>
    <t>C63・E63</t>
    <phoneticPr fontId="2"/>
  </si>
  <si>
    <t>ケーブル_CVQ_600V</t>
  </si>
  <si>
    <t>G70</t>
    <phoneticPr fontId="2"/>
  </si>
  <si>
    <t>C75・E75</t>
    <phoneticPr fontId="2"/>
  </si>
  <si>
    <t>ケーブル_EEF_600V</t>
  </si>
  <si>
    <t>G82</t>
    <phoneticPr fontId="2"/>
  </si>
  <si>
    <t>ケーブル_AE</t>
  </si>
  <si>
    <t>G92</t>
    <phoneticPr fontId="2"/>
  </si>
  <si>
    <t>ケーブル_HP</t>
  </si>
  <si>
    <t>G104</t>
    <phoneticPr fontId="2"/>
  </si>
  <si>
    <t>ケーブル_同軸</t>
    <rPh sb="5" eb="7">
      <t>ドウジク</t>
    </rPh>
    <phoneticPr fontId="2"/>
  </si>
  <si>
    <t>さや管</t>
    <rPh sb="2" eb="3">
      <t>カン</t>
    </rPh>
    <phoneticPr fontId="2"/>
  </si>
  <si>
    <t>さや管_5㎜保温</t>
    <rPh sb="2" eb="3">
      <t>カン</t>
    </rPh>
    <rPh sb="6" eb="8">
      <t>ホオン</t>
    </rPh>
    <phoneticPr fontId="2"/>
  </si>
  <si>
    <t>さや管_10㎜保温</t>
    <rPh sb="2" eb="3">
      <t>カン</t>
    </rPh>
    <rPh sb="6" eb="9">
      <t>ミリホオン</t>
    </rPh>
    <phoneticPr fontId="2"/>
  </si>
  <si>
    <t>架橋ポリエチレン管_10㎜保温</t>
    <rPh sb="0" eb="2">
      <t>カキョウ</t>
    </rPh>
    <rPh sb="8" eb="9">
      <t>カン</t>
    </rPh>
    <phoneticPr fontId="2"/>
  </si>
  <si>
    <t>架橋ポリエチレン管_20㎜保温</t>
    <rPh sb="0" eb="2">
      <t>カキョウ</t>
    </rPh>
    <rPh sb="8" eb="9">
      <t>カン</t>
    </rPh>
    <phoneticPr fontId="2"/>
  </si>
  <si>
    <t>二層架橋ポリエチレン管_5㎜保温</t>
    <rPh sb="0" eb="1">
      <t>ニ</t>
    </rPh>
    <rPh sb="1" eb="2">
      <t>ソウ</t>
    </rPh>
    <rPh sb="2" eb="4">
      <t>カキョウ</t>
    </rPh>
    <rPh sb="10" eb="11">
      <t>カン</t>
    </rPh>
    <phoneticPr fontId="2"/>
  </si>
  <si>
    <t>二層架橋ポリエチレン管_10㎜保温</t>
    <rPh sb="0" eb="1">
      <t>ニ</t>
    </rPh>
    <rPh sb="1" eb="2">
      <t>ソウ</t>
    </rPh>
    <rPh sb="2" eb="4">
      <t>カキョウ</t>
    </rPh>
    <rPh sb="10" eb="11">
      <t>カン</t>
    </rPh>
    <phoneticPr fontId="2"/>
  </si>
  <si>
    <t>ポリブテン管_5㎜保温</t>
    <rPh sb="5" eb="6">
      <t>カン</t>
    </rPh>
    <phoneticPr fontId="2"/>
  </si>
  <si>
    <t>ポリブテン管_10㎜保温</t>
    <rPh sb="5" eb="6">
      <t>カン</t>
    </rPh>
    <phoneticPr fontId="2"/>
  </si>
  <si>
    <t>ポリブテン管_20㎜保温</t>
    <rPh sb="5" eb="6">
      <t>カン</t>
    </rPh>
    <phoneticPr fontId="2"/>
  </si>
  <si>
    <t>楕円7</t>
    <rPh sb="0" eb="2">
      <t>ダエン</t>
    </rPh>
    <phoneticPr fontId="2"/>
  </si>
  <si>
    <t>エラストマー被覆架橋ポリエチレン管</t>
    <rPh sb="6" eb="8">
      <t>ヒフク</t>
    </rPh>
    <rPh sb="8" eb="10">
      <t>カキョウ</t>
    </rPh>
    <rPh sb="16" eb="17">
      <t>カン</t>
    </rPh>
    <phoneticPr fontId="2"/>
  </si>
  <si>
    <t>楕円10</t>
    <rPh sb="0" eb="2">
      <t>ダエン</t>
    </rPh>
    <phoneticPr fontId="2"/>
  </si>
  <si>
    <t>コルゲート付架橋ポリエチレン管</t>
    <rPh sb="5" eb="6">
      <t>ツキ</t>
    </rPh>
    <rPh sb="6" eb="8">
      <t>カキョウ</t>
    </rPh>
    <rPh sb="14" eb="15">
      <t>カン</t>
    </rPh>
    <phoneticPr fontId="2"/>
  </si>
  <si>
    <t>コルゲート付ポリブデン管</t>
    <rPh sb="5" eb="6">
      <t>ツキ</t>
    </rPh>
    <rPh sb="11" eb="12">
      <t>カン</t>
    </rPh>
    <phoneticPr fontId="2"/>
  </si>
  <si>
    <t>PE-RT_5㎜保温</t>
    <rPh sb="7" eb="10">
      <t>ミリホオン</t>
    </rPh>
    <phoneticPr fontId="2"/>
  </si>
  <si>
    <t>PE-RT_10㎜保温</t>
    <rPh sb="8" eb="11">
      <t>ミリホオン</t>
    </rPh>
    <phoneticPr fontId="2"/>
  </si>
  <si>
    <t>金属強化ポリエチレン管</t>
    <rPh sb="0" eb="2">
      <t>キンゾク</t>
    </rPh>
    <rPh sb="2" eb="4">
      <t>キョウカ</t>
    </rPh>
    <rPh sb="10" eb="11">
      <t>カン</t>
    </rPh>
    <phoneticPr fontId="2"/>
  </si>
  <si>
    <t>金属強化ポリエチレン管_10㎜保温</t>
    <rPh sb="0" eb="2">
      <t>キンゾク</t>
    </rPh>
    <rPh sb="2" eb="4">
      <t>キョウカ</t>
    </rPh>
    <rPh sb="10" eb="11">
      <t>カン</t>
    </rPh>
    <phoneticPr fontId="2"/>
  </si>
  <si>
    <t>金属強化ポリエチレン管_20㎜保温</t>
    <rPh sb="0" eb="2">
      <t>キンゾク</t>
    </rPh>
    <rPh sb="2" eb="4">
      <t>キョウカ</t>
    </rPh>
    <rPh sb="10" eb="11">
      <t>カン</t>
    </rPh>
    <phoneticPr fontId="2"/>
  </si>
  <si>
    <t>高耐熱フッ素樹脂ホース</t>
    <rPh sb="0" eb="3">
      <t>コウタイネツ</t>
    </rPh>
    <rPh sb="5" eb="6">
      <t>ソ</t>
    </rPh>
    <rPh sb="6" eb="8">
      <t>ジュシ</t>
    </rPh>
    <phoneticPr fontId="2"/>
  </si>
  <si>
    <t>高耐熱フッ素樹脂ホース_10㎜保温</t>
    <rPh sb="0" eb="3">
      <t>コウタイネツ</t>
    </rPh>
    <rPh sb="5" eb="6">
      <t>ソ</t>
    </rPh>
    <rPh sb="6" eb="8">
      <t>ジュシ</t>
    </rPh>
    <rPh sb="14" eb="17">
      <t>ミリホオン</t>
    </rPh>
    <phoneticPr fontId="2"/>
  </si>
  <si>
    <t>VP</t>
  </si>
  <si>
    <t>VP_10㎜保温</t>
    <rPh sb="5" eb="8">
      <t>ミリホオン</t>
    </rPh>
    <phoneticPr fontId="2"/>
  </si>
  <si>
    <t>VP_20㎜保温</t>
    <rPh sb="5" eb="8">
      <t>ミリホオン</t>
    </rPh>
    <phoneticPr fontId="2"/>
  </si>
  <si>
    <t>金属強化ポリエチレン_10㎜保温</t>
    <rPh sb="0" eb="2">
      <t>キンゾク</t>
    </rPh>
    <rPh sb="2" eb="4">
      <t>キョウカ</t>
    </rPh>
    <phoneticPr fontId="2"/>
  </si>
  <si>
    <t>HT</t>
  </si>
  <si>
    <t>HT_10㎜保温</t>
    <phoneticPr fontId="2"/>
  </si>
  <si>
    <t>HT_20㎜保温</t>
    <phoneticPr fontId="2"/>
  </si>
  <si>
    <t>VU</t>
  </si>
  <si>
    <t>VU_10㎜保温</t>
    <phoneticPr fontId="2"/>
  </si>
  <si>
    <t>VU_20㎜保温</t>
    <phoneticPr fontId="2"/>
  </si>
  <si>
    <t>SU</t>
  </si>
  <si>
    <t>SU_10㎜保温</t>
    <phoneticPr fontId="2"/>
  </si>
  <si>
    <t>VP</t>
    <phoneticPr fontId="2"/>
  </si>
  <si>
    <t>SU_20㎜保温</t>
    <phoneticPr fontId="2"/>
  </si>
  <si>
    <t>HT</t>
    <phoneticPr fontId="2"/>
  </si>
  <si>
    <t>リサイクル硬質塩ビ三層管</t>
    <rPh sb="5" eb="7">
      <t>コウシツ</t>
    </rPh>
    <rPh sb="7" eb="8">
      <t>エン</t>
    </rPh>
    <rPh sb="9" eb="10">
      <t>ミ</t>
    </rPh>
    <rPh sb="10" eb="11">
      <t>ソウ</t>
    </rPh>
    <rPh sb="11" eb="12">
      <t>カン</t>
    </rPh>
    <phoneticPr fontId="2"/>
  </si>
  <si>
    <t>SGP</t>
  </si>
  <si>
    <t>SGP_10㎜保温</t>
    <phoneticPr fontId="2"/>
  </si>
  <si>
    <t>SGP_20㎜保温</t>
    <phoneticPr fontId="2"/>
  </si>
  <si>
    <t>ステンレス鋼管</t>
    <rPh sb="5" eb="7">
      <t>コウカン</t>
    </rPh>
    <phoneticPr fontId="2"/>
  </si>
  <si>
    <t>ステンレス鋼管_保温10㎜</t>
    <rPh sb="8" eb="10">
      <t>ホオン</t>
    </rPh>
    <phoneticPr fontId="2"/>
  </si>
  <si>
    <t>ステンレス鋼管_保温20㎜</t>
    <rPh sb="8" eb="10">
      <t>ホオン</t>
    </rPh>
    <phoneticPr fontId="2"/>
  </si>
  <si>
    <t>銅管_建築・水道用</t>
    <rPh sb="0" eb="2">
      <t>ドウカン</t>
    </rPh>
    <rPh sb="3" eb="5">
      <t>ケンチク</t>
    </rPh>
    <rPh sb="6" eb="8">
      <t>スイドウ</t>
    </rPh>
    <rPh sb="8" eb="9">
      <t>ヨウ</t>
    </rPh>
    <phoneticPr fontId="2"/>
  </si>
  <si>
    <t>銅管_建築・水道用_保温10㎜</t>
    <rPh sb="0" eb="2">
      <t>ドウカン</t>
    </rPh>
    <rPh sb="3" eb="5">
      <t>ケンチク</t>
    </rPh>
    <rPh sb="6" eb="8">
      <t>スイドウ</t>
    </rPh>
    <rPh sb="8" eb="9">
      <t>ヨウ</t>
    </rPh>
    <phoneticPr fontId="2"/>
  </si>
  <si>
    <t>銅管_建築・水道用_保温20㎜</t>
    <rPh sb="0" eb="2">
      <t>ドウカン</t>
    </rPh>
    <rPh sb="3" eb="5">
      <t>ケンチク</t>
    </rPh>
    <rPh sb="6" eb="8">
      <t>スイドウ</t>
    </rPh>
    <rPh sb="8" eb="9">
      <t>ヨウ</t>
    </rPh>
    <phoneticPr fontId="2"/>
  </si>
  <si>
    <t>被覆銅管_建築・水道用</t>
    <rPh sb="0" eb="2">
      <t>ヒフク</t>
    </rPh>
    <rPh sb="2" eb="4">
      <t>ドウカン</t>
    </rPh>
    <rPh sb="5" eb="7">
      <t>ケンチク</t>
    </rPh>
    <rPh sb="8" eb="10">
      <t>スイドウ</t>
    </rPh>
    <rPh sb="10" eb="11">
      <t>ヨウ</t>
    </rPh>
    <phoneticPr fontId="2"/>
  </si>
  <si>
    <t>VU</t>
    <phoneticPr fontId="2"/>
  </si>
  <si>
    <t>SU</t>
    <phoneticPr fontId="2"/>
  </si>
  <si>
    <t>SGP</t>
    <phoneticPr fontId="2"/>
  </si>
  <si>
    <t>銅管_建築・水道用_保温10㎜</t>
    <rPh sb="0" eb="2">
      <t>ドウカン</t>
    </rPh>
    <rPh sb="3" eb="5">
      <t>ケンチク</t>
    </rPh>
    <rPh sb="6" eb="8">
      <t>スイドウ</t>
    </rPh>
    <rPh sb="8" eb="9">
      <t>ヨウ</t>
    </rPh>
    <rPh sb="10" eb="12">
      <t>ホオン</t>
    </rPh>
    <phoneticPr fontId="2"/>
  </si>
  <si>
    <t>銅管_建築・水道用_保温20㎜</t>
    <rPh sb="0" eb="2">
      <t>ドウカン</t>
    </rPh>
    <rPh sb="3" eb="5">
      <t>ケンチク</t>
    </rPh>
    <rPh sb="6" eb="8">
      <t>スイドウ</t>
    </rPh>
    <rPh sb="8" eb="9">
      <t>ヨウ</t>
    </rPh>
    <rPh sb="10" eb="12">
      <t>ホオン</t>
    </rPh>
    <phoneticPr fontId="2"/>
  </si>
  <si>
    <t>架橋ポリエチレン管　25Aまで</t>
    <rPh sb="0" eb="2">
      <t>カキョウ</t>
    </rPh>
    <rPh sb="8" eb="9">
      <t>カン</t>
    </rPh>
    <phoneticPr fontId="2"/>
  </si>
  <si>
    <t>10A</t>
    <phoneticPr fontId="2"/>
  </si>
  <si>
    <t>ポリブテン管　25Aまで</t>
    <rPh sb="5" eb="6">
      <t>カン</t>
    </rPh>
    <phoneticPr fontId="2"/>
  </si>
  <si>
    <t>15A</t>
    <phoneticPr fontId="2"/>
  </si>
  <si>
    <t>金属強化ポリエチレン管　25Aまで</t>
    <rPh sb="0" eb="2">
      <t>キンゾク</t>
    </rPh>
    <rPh sb="2" eb="4">
      <t>キョウカ</t>
    </rPh>
    <rPh sb="10" eb="11">
      <t>カン</t>
    </rPh>
    <phoneticPr fontId="2"/>
  </si>
  <si>
    <t>20A</t>
    <phoneticPr fontId="2"/>
  </si>
  <si>
    <t>二層被覆架橋ポリエチレン管　20Aまで</t>
    <rPh sb="0" eb="1">
      <t>ニ</t>
    </rPh>
    <rPh sb="1" eb="2">
      <t>ソウ</t>
    </rPh>
    <rPh sb="2" eb="4">
      <t>ヒフク</t>
    </rPh>
    <rPh sb="4" eb="6">
      <t>カキョウ</t>
    </rPh>
    <rPh sb="12" eb="13">
      <t>カン</t>
    </rPh>
    <phoneticPr fontId="2"/>
  </si>
  <si>
    <t>25A</t>
    <phoneticPr fontId="2"/>
  </si>
  <si>
    <t>ガスフレキ管　25Aまで</t>
    <rPh sb="5" eb="6">
      <t>カン</t>
    </rPh>
    <phoneticPr fontId="2"/>
  </si>
  <si>
    <t>32A</t>
    <phoneticPr fontId="2"/>
  </si>
  <si>
    <t>PE-RT管　13Aまで</t>
    <rPh sb="5" eb="6">
      <t>カン</t>
    </rPh>
    <phoneticPr fontId="2"/>
  </si>
  <si>
    <t>40A</t>
    <phoneticPr fontId="2"/>
  </si>
  <si>
    <t>50A</t>
    <phoneticPr fontId="2"/>
  </si>
  <si>
    <t>エラストマー被覆架橋ポリエチレン管　20Aまで</t>
    <phoneticPr fontId="2"/>
  </si>
  <si>
    <t>ケーブル_CT</t>
    <phoneticPr fontId="2"/>
  </si>
  <si>
    <t>ケーブル_VCT_600V</t>
    <phoneticPr fontId="2"/>
  </si>
  <si>
    <t>ケーブル_2CT_600V</t>
    <phoneticPr fontId="2"/>
  </si>
  <si>
    <t>ケーブル_2PNCT_600V</t>
    <phoneticPr fontId="2"/>
  </si>
  <si>
    <t>ケーブル_CV_600V</t>
    <phoneticPr fontId="2"/>
  </si>
  <si>
    <t>外径1(㎜)</t>
    <rPh sb="0" eb="2">
      <t>ガイケイ</t>
    </rPh>
    <phoneticPr fontId="2"/>
  </si>
  <si>
    <t>外径2(㎜)</t>
    <rPh sb="0" eb="2">
      <t>ガイケイ</t>
    </rPh>
    <phoneticPr fontId="2"/>
  </si>
  <si>
    <t>1.6×2C</t>
  </si>
  <si>
    <t>0.75×2C</t>
  </si>
  <si>
    <t>0.75×2C</t>
    <phoneticPr fontId="2"/>
  </si>
  <si>
    <t>2×1C</t>
    <phoneticPr fontId="2"/>
  </si>
  <si>
    <t>1.6×3C</t>
  </si>
  <si>
    <t>0.75×3C</t>
  </si>
  <si>
    <t>2×2C</t>
  </si>
  <si>
    <t>1.6×4C</t>
  </si>
  <si>
    <t>0.75×4C</t>
  </si>
  <si>
    <t>2×3C</t>
  </si>
  <si>
    <t>2.0×2C</t>
  </si>
  <si>
    <t>1.25×2C</t>
  </si>
  <si>
    <t>2×4C</t>
  </si>
  <si>
    <t>2.0×3C</t>
  </si>
  <si>
    <t>1.25×3C</t>
  </si>
  <si>
    <t>3.5×1C</t>
  </si>
  <si>
    <t>2.0×4C</t>
  </si>
  <si>
    <t>1.25×4C</t>
  </si>
  <si>
    <t>3.5×2C</t>
  </si>
  <si>
    <t>2.6×2C</t>
  </si>
  <si>
    <t>3.5×3C</t>
  </si>
  <si>
    <t>2.6×3C</t>
  </si>
  <si>
    <t>3.5×4C</t>
  </si>
  <si>
    <t>5.5×2C</t>
  </si>
  <si>
    <t>5.5×1C</t>
  </si>
  <si>
    <t>5.5×3C</t>
  </si>
  <si>
    <t>3.5x2C</t>
    <phoneticPr fontId="2"/>
  </si>
  <si>
    <t>8.0×2C</t>
  </si>
  <si>
    <t>3.5x3C</t>
  </si>
  <si>
    <t>8.0×3C</t>
  </si>
  <si>
    <t>3.5x4C</t>
  </si>
  <si>
    <t>5.5×4C</t>
  </si>
  <si>
    <t>5.5x2C</t>
    <phoneticPr fontId="2"/>
  </si>
  <si>
    <t>8×1C</t>
    <phoneticPr fontId="2"/>
  </si>
  <si>
    <t>5.5x3C</t>
  </si>
  <si>
    <t>8×2C</t>
  </si>
  <si>
    <t>5.5x4C</t>
  </si>
  <si>
    <t>8×3C</t>
  </si>
  <si>
    <t>8x2C</t>
    <phoneticPr fontId="2"/>
  </si>
  <si>
    <t>8×4C</t>
  </si>
  <si>
    <t>8x3C</t>
  </si>
  <si>
    <t>14×1C</t>
    <phoneticPr fontId="2"/>
  </si>
  <si>
    <t>8x4C</t>
  </si>
  <si>
    <t>14×2C</t>
  </si>
  <si>
    <t>14x2C</t>
    <phoneticPr fontId="2"/>
  </si>
  <si>
    <t>14×3C</t>
  </si>
  <si>
    <t>ケーブル_CVD_600V</t>
    <phoneticPr fontId="2"/>
  </si>
  <si>
    <t>ケーブル_CVT_600V</t>
    <phoneticPr fontId="2"/>
  </si>
  <si>
    <t>ケーブル_CVQ_600V</t>
    <phoneticPr fontId="2"/>
  </si>
  <si>
    <t>14x3C</t>
  </si>
  <si>
    <t>14×4C</t>
  </si>
  <si>
    <t>22×1C</t>
    <phoneticPr fontId="2"/>
  </si>
  <si>
    <t>8×2C</t>
    <phoneticPr fontId="2"/>
  </si>
  <si>
    <t>8×3C</t>
    <phoneticPr fontId="2"/>
  </si>
  <si>
    <t>22×2C</t>
  </si>
  <si>
    <t>22x4C</t>
  </si>
  <si>
    <t>38×1C</t>
    <phoneticPr fontId="2"/>
  </si>
  <si>
    <t>22x2C</t>
    <phoneticPr fontId="2"/>
  </si>
  <si>
    <t>22x3C</t>
  </si>
  <si>
    <t>38x4C</t>
  </si>
  <si>
    <t>60×1C</t>
    <phoneticPr fontId="2"/>
  </si>
  <si>
    <t>38x2C</t>
    <phoneticPr fontId="2"/>
  </si>
  <si>
    <t>38x3C</t>
  </si>
  <si>
    <t>60x4C</t>
  </si>
  <si>
    <t>100×1C</t>
    <phoneticPr fontId="2"/>
  </si>
  <si>
    <t>60x2C</t>
    <phoneticPr fontId="2"/>
  </si>
  <si>
    <t>60x3C</t>
  </si>
  <si>
    <t>100x4C</t>
  </si>
  <si>
    <t>100x2C</t>
    <phoneticPr fontId="2"/>
  </si>
  <si>
    <t>100x3C</t>
  </si>
  <si>
    <t>150x4C</t>
  </si>
  <si>
    <t>150x2C</t>
    <phoneticPr fontId="2"/>
  </si>
  <si>
    <t>150x3C</t>
  </si>
  <si>
    <t>200x4C</t>
  </si>
  <si>
    <t>200x2C</t>
    <phoneticPr fontId="2"/>
  </si>
  <si>
    <t>200x3C</t>
  </si>
  <si>
    <t>250x4C</t>
  </si>
  <si>
    <t>250x2C</t>
    <phoneticPr fontId="2"/>
  </si>
  <si>
    <t>250x3C</t>
  </si>
  <si>
    <t>325x4C</t>
  </si>
  <si>
    <t>325x2C</t>
    <phoneticPr fontId="2"/>
  </si>
  <si>
    <t>325x3C</t>
  </si>
  <si>
    <t>400x3C</t>
    <phoneticPr fontId="2"/>
  </si>
  <si>
    <t>ケーブル_EEF_600V</t>
    <phoneticPr fontId="2"/>
  </si>
  <si>
    <t>ケーブル_AE</t>
    <phoneticPr fontId="2"/>
  </si>
  <si>
    <t>ケーブル_HP</t>
    <phoneticPr fontId="2"/>
  </si>
  <si>
    <t>0.9x3P</t>
    <phoneticPr fontId="2"/>
  </si>
  <si>
    <t>3C-2V</t>
    <phoneticPr fontId="2"/>
  </si>
  <si>
    <t>0.9x5P</t>
    <phoneticPr fontId="2"/>
  </si>
  <si>
    <t>5C-2V</t>
    <phoneticPr fontId="2"/>
  </si>
  <si>
    <t>0.9x10P</t>
    <phoneticPr fontId="2"/>
  </si>
  <si>
    <t>0.9x7P</t>
    <phoneticPr fontId="2"/>
  </si>
  <si>
    <t>7C-2V</t>
    <phoneticPr fontId="2"/>
  </si>
  <si>
    <t>0.9x15P</t>
    <phoneticPr fontId="2"/>
  </si>
  <si>
    <t>10C-2V</t>
    <phoneticPr fontId="2"/>
  </si>
  <si>
    <t>0.9x20P</t>
    <phoneticPr fontId="2"/>
  </si>
  <si>
    <t>5D-2V</t>
    <phoneticPr fontId="2"/>
  </si>
  <si>
    <t>0.9x30P</t>
    <phoneticPr fontId="2"/>
  </si>
  <si>
    <t>8D-2V</t>
    <phoneticPr fontId="2"/>
  </si>
  <si>
    <t>1.2x3P</t>
  </si>
  <si>
    <t>10D-2V</t>
    <phoneticPr fontId="2"/>
  </si>
  <si>
    <t>1.2x5P</t>
  </si>
  <si>
    <t>1.2x10P</t>
  </si>
  <si>
    <t>1.2x15P</t>
  </si>
  <si>
    <t>1.2x7P</t>
    <phoneticPr fontId="2"/>
  </si>
  <si>
    <t>1.2x20P</t>
  </si>
  <si>
    <t>1.2x30P</t>
  </si>
  <si>
    <t>ドレンホース</t>
    <phoneticPr fontId="2"/>
  </si>
  <si>
    <t>薄鋼_ねじなし電線管</t>
    <phoneticPr fontId="2"/>
  </si>
  <si>
    <t>サイズ</t>
  </si>
  <si>
    <t>配管</t>
    <rPh sb="0" eb="2">
      <t>ハイカン</t>
    </rPh>
    <phoneticPr fontId="2"/>
  </si>
  <si>
    <t>*</t>
    <phoneticPr fontId="2"/>
  </si>
  <si>
    <t>マシンフレキ</t>
  </si>
  <si>
    <t>冷媒管</t>
    <rPh sb="0" eb="3">
      <t>レイバイカン</t>
    </rPh>
    <phoneticPr fontId="2"/>
  </si>
  <si>
    <t>薄鋼_ねじなし電線管</t>
  </si>
  <si>
    <t>G16</t>
  </si>
  <si>
    <t>G22</t>
  </si>
  <si>
    <t>G28</t>
  </si>
  <si>
    <t>G36</t>
  </si>
  <si>
    <t>G42</t>
  </si>
  <si>
    <t>G54</t>
  </si>
  <si>
    <t>G70</t>
  </si>
  <si>
    <t>G82</t>
  </si>
  <si>
    <t>G92</t>
  </si>
  <si>
    <t>G104</t>
  </si>
  <si>
    <t>C19・E19</t>
  </si>
  <si>
    <t>C25・E25</t>
  </si>
  <si>
    <t>C31・E31</t>
  </si>
  <si>
    <t>C39・E39</t>
  </si>
  <si>
    <t>C51・E51</t>
  </si>
  <si>
    <t>C63・E63</t>
  </si>
  <si>
    <t>C75・E75</t>
  </si>
  <si>
    <t>ケーブル</t>
    <phoneticPr fontId="2"/>
  </si>
  <si>
    <t>HT_10㎜保温</t>
  </si>
  <si>
    <t>HT_20㎜保温</t>
  </si>
  <si>
    <t>VU_10㎜保温</t>
  </si>
  <si>
    <t>VU_20㎜保温</t>
  </si>
  <si>
    <t>SU_10㎜保温</t>
  </si>
  <si>
    <t>SU_20㎜保温</t>
  </si>
  <si>
    <t>SGP_10㎜保温</t>
  </si>
  <si>
    <t>SGP_20㎜保温</t>
  </si>
  <si>
    <t>10A</t>
  </si>
  <si>
    <t>15A</t>
  </si>
  <si>
    <t>20A</t>
  </si>
  <si>
    <t>25A</t>
  </si>
  <si>
    <t>32A</t>
  </si>
  <si>
    <t>40A</t>
  </si>
  <si>
    <t>50A</t>
  </si>
  <si>
    <t>軟質塩ビステンレスフレキ_ガスフレキ　25Aまで</t>
    <rPh sb="0" eb="2">
      <t>ナンシツ</t>
    </rPh>
    <rPh sb="2" eb="3">
      <t>エン</t>
    </rPh>
    <phoneticPr fontId="2"/>
  </si>
  <si>
    <t>冷媒管</t>
    <phoneticPr fontId="2"/>
  </si>
  <si>
    <t>電気</t>
    <phoneticPr fontId="2"/>
  </si>
  <si>
    <t>空調・設備・ガス</t>
    <phoneticPr fontId="2"/>
  </si>
  <si>
    <t>列63</t>
  </si>
  <si>
    <t>列64</t>
  </si>
  <si>
    <t>列65</t>
  </si>
  <si>
    <t>銅管_8㎜保温</t>
    <rPh sb="0" eb="2">
      <t>ドウカン</t>
    </rPh>
    <phoneticPr fontId="2"/>
  </si>
  <si>
    <t>銅管_10㎜保温</t>
    <rPh sb="0" eb="2">
      <t>ドウカン</t>
    </rPh>
    <rPh sb="6" eb="8">
      <t>ホオン</t>
    </rPh>
    <phoneticPr fontId="2"/>
  </si>
  <si>
    <t>銅管_20㎜保温</t>
    <rPh sb="0" eb="2">
      <t>ドウカン</t>
    </rPh>
    <rPh sb="6" eb="8">
      <t>ホオン</t>
    </rPh>
    <phoneticPr fontId="2"/>
  </si>
  <si>
    <t>CVD_600V</t>
  </si>
  <si>
    <t>CVT_600V</t>
  </si>
  <si>
    <t>CVQ_600V</t>
  </si>
  <si>
    <t>国交省認定番号</t>
    <rPh sb="0" eb="1">
      <t>クニ</t>
    </rPh>
    <rPh sb="3" eb="7">
      <t>ニンテイバンゴウ</t>
    </rPh>
    <phoneticPr fontId="2"/>
  </si>
  <si>
    <t>ALC耐火構造(60分)・準耐火構造(60分)</t>
    <rPh sb="3" eb="5">
      <t>タイカ</t>
    </rPh>
    <rPh sb="5" eb="7">
      <t>コウゾウ</t>
    </rPh>
    <rPh sb="10" eb="11">
      <t>フン</t>
    </rPh>
    <rPh sb="13" eb="16">
      <t>ジュンタイカ</t>
    </rPh>
    <rPh sb="16" eb="18">
      <t>コウゾウ</t>
    </rPh>
    <phoneticPr fontId="2"/>
  </si>
  <si>
    <t>その他配管</t>
    <rPh sb="2" eb="3">
      <t>タ</t>
    </rPh>
    <rPh sb="3" eb="5">
      <t>ハイカン</t>
    </rPh>
    <phoneticPr fontId="2"/>
  </si>
  <si>
    <t>配管種</t>
    <rPh sb="0" eb="2">
      <t>ハイカン</t>
    </rPh>
    <rPh sb="2" eb="3">
      <t>シュ</t>
    </rPh>
    <phoneticPr fontId="2"/>
  </si>
  <si>
    <t>ケーブル種</t>
    <rPh sb="4" eb="5">
      <t>シュ</t>
    </rPh>
    <phoneticPr fontId="2"/>
  </si>
  <si>
    <t>CVD_600V</t>
    <phoneticPr fontId="2"/>
  </si>
  <si>
    <t>CVT_600V</t>
    <phoneticPr fontId="2"/>
  </si>
  <si>
    <t>CVQ_600V</t>
    <phoneticPr fontId="2"/>
  </si>
  <si>
    <t>結露防止層付ドレンパイプ</t>
    <rPh sb="0" eb="2">
      <t>ケツロ</t>
    </rPh>
    <rPh sb="2" eb="4">
      <t>ボウシ</t>
    </rPh>
    <rPh sb="4" eb="5">
      <t>ソウ</t>
    </rPh>
    <rPh sb="5" eb="6">
      <t>ツキ</t>
    </rPh>
    <phoneticPr fontId="2"/>
  </si>
  <si>
    <t>PERT_5㎜保温</t>
    <rPh sb="6" eb="9">
      <t>ミリホオン</t>
    </rPh>
    <phoneticPr fontId="2"/>
  </si>
  <si>
    <t>PERT_10㎜保温</t>
    <rPh sb="7" eb="10">
      <t>ミリホオン</t>
    </rPh>
    <phoneticPr fontId="2"/>
  </si>
  <si>
    <t>タイカブラック　スポンジ推奨使用部材</t>
    <phoneticPr fontId="2"/>
  </si>
  <si>
    <t>-</t>
    <phoneticPr fontId="2"/>
  </si>
  <si>
    <t>補助S</t>
    <rPh sb="0" eb="2">
      <t>ホジョ</t>
    </rPh>
    <phoneticPr fontId="2"/>
  </si>
  <si>
    <t>冷媒管1</t>
    <rPh sb="0" eb="3">
      <t>レイバイカン</t>
    </rPh>
    <phoneticPr fontId="2"/>
  </si>
  <si>
    <t>冷媒管2</t>
    <rPh sb="0" eb="3">
      <t>レイバイカン</t>
    </rPh>
    <phoneticPr fontId="2"/>
  </si>
  <si>
    <t>冷媒管3</t>
    <rPh sb="0" eb="3">
      <t>レイバイカン</t>
    </rPh>
    <phoneticPr fontId="2"/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</si>
  <si>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</si>
  <si>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</si>
  <si>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</si>
  <si>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</si>
  <si>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</si>
  <si>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</si>
  <si>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</si>
  <si>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</si>
  <si>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</si>
  <si>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</si>
  <si>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</si>
  <si>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</si>
  <si>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</si>
  <si>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</si>
  <si>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合計断面積</t>
    <rPh sb="0" eb="2">
      <t>ゴウケイ</t>
    </rPh>
    <rPh sb="2" eb="5">
      <t>ダンメンセキ</t>
    </rPh>
    <phoneticPr fontId="2"/>
  </si>
  <si>
    <t>総断面積</t>
    <rPh sb="0" eb="1">
      <t>ソウ</t>
    </rPh>
    <rPh sb="1" eb="4">
      <t>ダンメンセキ</t>
    </rPh>
    <phoneticPr fontId="2"/>
  </si>
  <si>
    <t>列6412</t>
  </si>
  <si>
    <t>ケーブル導体断面積</t>
    <rPh sb="4" eb="6">
      <t>ドウタイ</t>
    </rPh>
    <rPh sb="6" eb="9">
      <t>ダンメンセキ</t>
    </rPh>
    <phoneticPr fontId="2"/>
  </si>
  <si>
    <t>認定1本あたり</t>
    <rPh sb="0" eb="2">
      <t>ニンテイ</t>
    </rPh>
    <rPh sb="3" eb="4">
      <t>ホン</t>
    </rPh>
    <phoneticPr fontId="2"/>
  </si>
  <si>
    <t>認定合計断面積</t>
    <rPh sb="0" eb="2">
      <t>ニンテイ</t>
    </rPh>
    <rPh sb="2" eb="4">
      <t>ゴウケイ</t>
    </rPh>
    <rPh sb="4" eb="7">
      <t>ダンメンセキ</t>
    </rPh>
    <phoneticPr fontId="2"/>
  </si>
  <si>
    <t>判定</t>
    <rPh sb="0" eb="2">
      <t>ハンテイ</t>
    </rPh>
    <phoneticPr fontId="2"/>
  </si>
  <si>
    <t>品　番</t>
    <rPh sb="0" eb="1">
      <t>ヒン</t>
    </rPh>
    <rPh sb="2" eb="3">
      <t>バン</t>
    </rPh>
    <phoneticPr fontId="2"/>
  </si>
  <si>
    <t>配管図</t>
    <rPh sb="0" eb="3">
      <t>ハイカンズ</t>
    </rPh>
    <phoneticPr fontId="2"/>
  </si>
  <si>
    <t>中空壁</t>
    <phoneticPr fontId="2"/>
  </si>
  <si>
    <t>結露防止層付ドレンパイプ</t>
  </si>
  <si>
    <t>壁_床置工法</t>
    <rPh sb="0" eb="1">
      <t>カベ</t>
    </rPh>
    <rPh sb="2" eb="4">
      <t>ユカオ</t>
    </rPh>
    <rPh sb="4" eb="6">
      <t>コウホウ</t>
    </rPh>
    <phoneticPr fontId="2"/>
  </si>
  <si>
    <t>中空壁</t>
    <rPh sb="0" eb="2">
      <t>チュウクウ</t>
    </rPh>
    <rPh sb="2" eb="3">
      <t>カベ</t>
    </rPh>
    <phoneticPr fontId="2"/>
  </si>
  <si>
    <t>中空壁_床置工法</t>
    <rPh sb="0" eb="2">
      <t>チュウクウ</t>
    </rPh>
    <rPh sb="2" eb="3">
      <t>カベ</t>
    </rPh>
    <phoneticPr fontId="2"/>
  </si>
  <si>
    <t>片面壁_床置工法</t>
    <rPh sb="0" eb="2">
      <t>カタメン</t>
    </rPh>
    <rPh sb="2" eb="3">
      <t>カベ</t>
    </rPh>
    <phoneticPr fontId="2"/>
  </si>
  <si>
    <t>8㎜保温</t>
    <phoneticPr fontId="2"/>
  </si>
  <si>
    <t>10㎜保温</t>
    <rPh sb="3" eb="5">
      <t>ホオン</t>
    </rPh>
    <phoneticPr fontId="2"/>
  </si>
  <si>
    <t>20㎜保温</t>
    <rPh sb="3" eb="5">
      <t>ホオン</t>
    </rPh>
    <phoneticPr fontId="2"/>
  </si>
  <si>
    <t>銅管</t>
    <rPh sb="0" eb="2">
      <t>ドウカン</t>
    </rPh>
    <phoneticPr fontId="2"/>
  </si>
  <si>
    <t>アルミニウム管</t>
    <rPh sb="6" eb="7">
      <t>カン</t>
    </rPh>
    <phoneticPr fontId="2"/>
  </si>
  <si>
    <t>床_スリーブあり</t>
    <rPh sb="0" eb="1">
      <t>ユカ</t>
    </rPh>
    <phoneticPr fontId="2"/>
  </si>
  <si>
    <t>床_スリーブなし_RC</t>
    <rPh sb="0" eb="1">
      <t>ユカ</t>
    </rPh>
    <phoneticPr fontId="2"/>
  </si>
  <si>
    <t>床_スリーブなし_ALC</t>
    <rPh sb="0" eb="1">
      <t>ユカ</t>
    </rPh>
    <phoneticPr fontId="2"/>
  </si>
  <si>
    <t>開口幅</t>
    <rPh sb="0" eb="3">
      <t>カイコウハバ</t>
    </rPh>
    <phoneticPr fontId="2"/>
  </si>
  <si>
    <t>金具方向</t>
    <rPh sb="0" eb="2">
      <t>カナグ</t>
    </rPh>
    <rPh sb="2" eb="4">
      <t>ホウコウ</t>
    </rPh>
    <phoneticPr fontId="2"/>
  </si>
  <si>
    <t>開口寸法W</t>
    <rPh sb="0" eb="4">
      <t>カイコウスンポウ</t>
    </rPh>
    <phoneticPr fontId="2"/>
  </si>
  <si>
    <t>開口寸法H</t>
    <rPh sb="0" eb="4">
      <t>カイコウスンポウ</t>
    </rPh>
    <phoneticPr fontId="2"/>
  </si>
  <si>
    <t>不燃シート</t>
    <rPh sb="0" eb="2">
      <t>フネン</t>
    </rPh>
    <phoneticPr fontId="2"/>
  </si>
  <si>
    <t>列6442</t>
  </si>
  <si>
    <t>CV_600V</t>
    <phoneticPr fontId="2"/>
  </si>
  <si>
    <t>CV_6600V</t>
    <phoneticPr fontId="2"/>
  </si>
  <si>
    <t>CVT_6600V</t>
    <phoneticPr fontId="2"/>
  </si>
  <si>
    <t>IV</t>
    <phoneticPr fontId="2"/>
  </si>
  <si>
    <t>EM_600V_CE_F</t>
  </si>
  <si>
    <t>EM_600V_CE_F</t>
    <phoneticPr fontId="2"/>
  </si>
  <si>
    <t>IV</t>
  </si>
  <si>
    <t>CV_600V</t>
  </si>
  <si>
    <t>CV_6600V</t>
  </si>
  <si>
    <t>CVT_6600V</t>
  </si>
  <si>
    <t>EM_600V_CED_F</t>
  </si>
  <si>
    <t>EM_600V_CED_F</t>
    <phoneticPr fontId="2"/>
  </si>
  <si>
    <t>EM_600V_CET_F</t>
  </si>
  <si>
    <t>EM_600V_CET_F</t>
    <phoneticPr fontId="2"/>
  </si>
  <si>
    <t>EM_600V_CEQ_F</t>
  </si>
  <si>
    <t>EM_600V_CEQ_F</t>
    <phoneticPr fontId="2"/>
  </si>
  <si>
    <t>EM_600V_EEF_F</t>
    <phoneticPr fontId="2"/>
  </si>
  <si>
    <t>EM_6600V_CE_F</t>
  </si>
  <si>
    <t>EM_6600V_CE_F</t>
    <phoneticPr fontId="2"/>
  </si>
  <si>
    <t>EM_6600V_CET_F</t>
    <phoneticPr fontId="2"/>
  </si>
  <si>
    <t>EM_IE_F</t>
    <phoneticPr fontId="2"/>
  </si>
  <si>
    <t>VVF_600V</t>
    <phoneticPr fontId="2"/>
  </si>
  <si>
    <t>貫通配管断面積</t>
    <rPh sb="0" eb="2">
      <t>カンツウ</t>
    </rPh>
    <rPh sb="2" eb="4">
      <t>ハイカン</t>
    </rPh>
    <rPh sb="4" eb="7">
      <t>ダンメンセキ</t>
    </rPh>
    <phoneticPr fontId="2"/>
  </si>
  <si>
    <t>列2</t>
  </si>
  <si>
    <t>列4</t>
  </si>
  <si>
    <t>1.2㎜(単線)</t>
    <phoneticPr fontId="2"/>
  </si>
  <si>
    <t>IV_1.2㎜(単線)</t>
    <phoneticPr fontId="2"/>
  </si>
  <si>
    <t>1.6㎜(単線)</t>
    <phoneticPr fontId="2"/>
  </si>
  <si>
    <t>IV_1.6㎜(単線)</t>
  </si>
  <si>
    <t>2㎜(単線)</t>
    <phoneticPr fontId="2"/>
  </si>
  <si>
    <t>IV_2㎜(単線)</t>
  </si>
  <si>
    <t>2.6㎜(単線)</t>
    <phoneticPr fontId="2"/>
  </si>
  <si>
    <t>IV_2.6㎜(単線)</t>
  </si>
  <si>
    <t>0.9㎟(より線)</t>
    <phoneticPr fontId="2"/>
  </si>
  <si>
    <t>IV_0.9㎟(より線)</t>
    <phoneticPr fontId="2"/>
  </si>
  <si>
    <t>1.25㎟(より線)</t>
    <phoneticPr fontId="2"/>
  </si>
  <si>
    <t>IV_1.25㎟(より線)</t>
  </si>
  <si>
    <t>3.5㎟(より線)</t>
    <phoneticPr fontId="2"/>
  </si>
  <si>
    <t>IV_3.5㎟(より線)</t>
  </si>
  <si>
    <t>5.5㎟(より線)</t>
    <phoneticPr fontId="2"/>
  </si>
  <si>
    <t>IV_5.5㎟(より線)</t>
  </si>
  <si>
    <t>8㎟(より線)</t>
    <phoneticPr fontId="2"/>
  </si>
  <si>
    <t>IV_8㎟(より線)</t>
  </si>
  <si>
    <t>14㎟(より線)</t>
    <phoneticPr fontId="2"/>
  </si>
  <si>
    <t>IV_14㎟(より線)</t>
  </si>
  <si>
    <t>22㎟(より線)</t>
    <phoneticPr fontId="2"/>
  </si>
  <si>
    <t>IV_22㎟(より線)</t>
  </si>
  <si>
    <t>38㎟(より線)</t>
    <phoneticPr fontId="2"/>
  </si>
  <si>
    <t>IV_38㎟(より線)</t>
  </si>
  <si>
    <t>60㎟(より線)</t>
    <phoneticPr fontId="2"/>
  </si>
  <si>
    <t>IV_60㎟(より線)</t>
  </si>
  <si>
    <t>100㎟(より線)</t>
    <phoneticPr fontId="2"/>
  </si>
  <si>
    <t>IV_100㎟(より線)</t>
  </si>
  <si>
    <t>150㎟(より線)</t>
    <phoneticPr fontId="2"/>
  </si>
  <si>
    <t>IV_150㎟(より線)</t>
  </si>
  <si>
    <t>200㎟(より線)</t>
    <phoneticPr fontId="2"/>
  </si>
  <si>
    <t>IV_200㎟(より線)</t>
  </si>
  <si>
    <t>250㎟(より線)</t>
    <phoneticPr fontId="2"/>
  </si>
  <si>
    <t>IV_250㎟(より線)</t>
  </si>
  <si>
    <t>325㎟(より線)</t>
    <phoneticPr fontId="2"/>
  </si>
  <si>
    <t>IV_325㎟(より線)</t>
  </si>
  <si>
    <t>1.6㎜×2C</t>
    <phoneticPr fontId="2"/>
  </si>
  <si>
    <t>VVF_600V_1.6㎜×2C</t>
    <phoneticPr fontId="2"/>
  </si>
  <si>
    <t>1.6㎜×3C</t>
    <phoneticPr fontId="2"/>
  </si>
  <si>
    <t>VVF_600V_1.6㎜×3C</t>
  </si>
  <si>
    <t>1.6㎜×4C</t>
    <phoneticPr fontId="2"/>
  </si>
  <si>
    <t>VVF_600V_1.6㎜×4C</t>
  </si>
  <si>
    <t>2.0㎜×2C</t>
    <phoneticPr fontId="2"/>
  </si>
  <si>
    <t>VVF_600V_2.0㎜×2C</t>
  </si>
  <si>
    <t>2.0㎜×3C</t>
    <phoneticPr fontId="2"/>
  </si>
  <si>
    <t>VVF_600V_2.0㎜×3C</t>
  </si>
  <si>
    <t>2.0㎜×4C</t>
    <phoneticPr fontId="2"/>
  </si>
  <si>
    <t>VVF_600V_2.0㎜×4C</t>
  </si>
  <si>
    <t>2.6㎜×2C</t>
    <phoneticPr fontId="2"/>
  </si>
  <si>
    <t>VVF_600V_2.6㎜×2C</t>
  </si>
  <si>
    <t>2.6㎜×3C</t>
    <phoneticPr fontId="2"/>
  </si>
  <si>
    <t>VVF_600V_2.6㎜×3C</t>
  </si>
  <si>
    <t>5.5㎟x1C</t>
    <phoneticPr fontId="2"/>
  </si>
  <si>
    <t>CV_600V_5.5㎟x1C</t>
  </si>
  <si>
    <t>8㎟x1c</t>
    <phoneticPr fontId="2"/>
  </si>
  <si>
    <t>CV_600V_8㎟X1C</t>
    <phoneticPr fontId="2"/>
  </si>
  <si>
    <t>14㎟x1C</t>
    <phoneticPr fontId="2"/>
  </si>
  <si>
    <t>CV_600V_14㎟x1C</t>
  </si>
  <si>
    <t>22㎟x1C</t>
    <phoneticPr fontId="2"/>
  </si>
  <si>
    <t>CV_600V_22㎟x1C</t>
  </si>
  <si>
    <t>38㎟x1C</t>
    <phoneticPr fontId="2"/>
  </si>
  <si>
    <t>CV_600V_38㎟x1C</t>
  </si>
  <si>
    <t>60㎟x1C</t>
    <phoneticPr fontId="2"/>
  </si>
  <si>
    <t>CV_600V_60㎟x1C</t>
  </si>
  <si>
    <t>100㎟x1C</t>
    <phoneticPr fontId="2"/>
  </si>
  <si>
    <t>CV_600V_100㎟x1C</t>
  </si>
  <si>
    <t>150㎟x1C</t>
    <phoneticPr fontId="2"/>
  </si>
  <si>
    <t>CV_600V_150㎟x1C</t>
  </si>
  <si>
    <t>200㎟x1C</t>
    <phoneticPr fontId="2"/>
  </si>
  <si>
    <t>CV_600V_200㎟x1C</t>
  </si>
  <si>
    <t>250㎟x1C</t>
    <phoneticPr fontId="2"/>
  </si>
  <si>
    <t>CV_600V_250㎟x1C</t>
  </si>
  <si>
    <t>325㎟x1C</t>
    <phoneticPr fontId="2"/>
  </si>
  <si>
    <t>CV_600V_325㎟x1C</t>
  </si>
  <si>
    <t>2㎟x2C</t>
    <phoneticPr fontId="2"/>
  </si>
  <si>
    <t>CV_600V_2㎟x2C</t>
  </si>
  <si>
    <t>3.5㎟x2C</t>
    <phoneticPr fontId="2"/>
  </si>
  <si>
    <t>CV_600V_3.5㎟x2C</t>
  </si>
  <si>
    <t>5.5㎟x2C</t>
    <phoneticPr fontId="2"/>
  </si>
  <si>
    <t>CV_600V_5.5㎟x2C</t>
  </si>
  <si>
    <t>8㎟x2C</t>
    <phoneticPr fontId="2"/>
  </si>
  <si>
    <t>CV_600V_8㎟x2C</t>
  </si>
  <si>
    <t>14㎟x2C</t>
    <phoneticPr fontId="2"/>
  </si>
  <si>
    <t>CV_600V_14㎟x2C</t>
  </si>
  <si>
    <t>22㎟x2C</t>
    <phoneticPr fontId="2"/>
  </si>
  <si>
    <t>CV_600V_22㎟x2C</t>
  </si>
  <si>
    <t>38㎟x2C</t>
    <phoneticPr fontId="2"/>
  </si>
  <si>
    <t>CV_600V_38㎟x2C</t>
  </si>
  <si>
    <t>60㎟x2C</t>
    <phoneticPr fontId="2"/>
  </si>
  <si>
    <t>CV_600V_60㎟x2C</t>
  </si>
  <si>
    <t>100㎟x2C</t>
    <phoneticPr fontId="2"/>
  </si>
  <si>
    <t>CV_600V_100㎟x2C</t>
  </si>
  <si>
    <t>150㎟x2C</t>
    <phoneticPr fontId="2"/>
  </si>
  <si>
    <t>CV_600V_150㎟x2C</t>
  </si>
  <si>
    <t>200㎟x2C</t>
    <phoneticPr fontId="2"/>
  </si>
  <si>
    <t>CV_600V_200㎟x2C</t>
  </si>
  <si>
    <t>250㎟x2C</t>
    <phoneticPr fontId="2"/>
  </si>
  <si>
    <t>CV_600V_250㎟x2C</t>
  </si>
  <si>
    <t>325㎟x2C</t>
    <phoneticPr fontId="2"/>
  </si>
  <si>
    <t>CV_600V_325㎟x2C</t>
  </si>
  <si>
    <t>2㎟x3C</t>
    <phoneticPr fontId="2"/>
  </si>
  <si>
    <t>CV_600V_2㎟x3C</t>
  </si>
  <si>
    <t>3.5㎟x3C</t>
    <phoneticPr fontId="2"/>
  </si>
  <si>
    <t>CV_600V_3.5㎟x3C</t>
  </si>
  <si>
    <t>5.5㎟x3C</t>
    <phoneticPr fontId="2"/>
  </si>
  <si>
    <t>CV_600V_5.5㎟x3C</t>
  </si>
  <si>
    <t>8㎟x3C</t>
    <phoneticPr fontId="2"/>
  </si>
  <si>
    <t>CV_600V_8㎟x3C</t>
  </si>
  <si>
    <t>14㎟x3C</t>
    <phoneticPr fontId="2"/>
  </si>
  <si>
    <t>CV_600V_14㎟x3C</t>
  </si>
  <si>
    <t>22㎟x3C</t>
    <phoneticPr fontId="2"/>
  </si>
  <si>
    <t>CV_600V_22㎟x3C</t>
  </si>
  <si>
    <t>38㎟x3C</t>
    <phoneticPr fontId="2"/>
  </si>
  <si>
    <t>CV_600V_38㎟x3C</t>
  </si>
  <si>
    <t>60㎟x3C</t>
    <phoneticPr fontId="2"/>
  </si>
  <si>
    <t>CV_600V_60㎟x3C</t>
  </si>
  <si>
    <t>100㎟x3C</t>
    <phoneticPr fontId="2"/>
  </si>
  <si>
    <t>CV_600V_100㎟x3C</t>
  </si>
  <si>
    <t>150㎟x3C</t>
    <phoneticPr fontId="2"/>
  </si>
  <si>
    <t>CV_600V_150㎟x3C</t>
  </si>
  <si>
    <t>200㎟x3C</t>
    <phoneticPr fontId="2"/>
  </si>
  <si>
    <t>CV_600V_200㎟x3C</t>
  </si>
  <si>
    <t>250㎟x3C</t>
    <phoneticPr fontId="2"/>
  </si>
  <si>
    <t>CV_600V_250㎟x3C</t>
  </si>
  <si>
    <t>325㎟x3C</t>
    <phoneticPr fontId="2"/>
  </si>
  <si>
    <t>CV_600V_325㎟x3C</t>
  </si>
  <si>
    <t>2㎟x4C</t>
    <phoneticPr fontId="2"/>
  </si>
  <si>
    <t>CV_600V_2㎟x4C</t>
  </si>
  <si>
    <t>3.5㎟x4C</t>
    <phoneticPr fontId="2"/>
  </si>
  <si>
    <t>CV_600V_3.5㎟x4C</t>
  </si>
  <si>
    <t>5.5㎟x4C</t>
    <phoneticPr fontId="2"/>
  </si>
  <si>
    <t>CV_600V_5.5㎟x4C</t>
  </si>
  <si>
    <t>8㎟x4C</t>
    <phoneticPr fontId="2"/>
  </si>
  <si>
    <t>CV_600V_8㎟x4C</t>
  </si>
  <si>
    <t>14㎟x4C</t>
    <phoneticPr fontId="2"/>
  </si>
  <si>
    <t>CV_600V_14㎟x4C</t>
  </si>
  <si>
    <t>22㎟x4C</t>
    <phoneticPr fontId="2"/>
  </si>
  <si>
    <t>CV_600V_22㎟x4C</t>
  </si>
  <si>
    <t>38㎟x4C</t>
    <phoneticPr fontId="2"/>
  </si>
  <si>
    <t>CV_600V_38㎟x4C</t>
  </si>
  <si>
    <t>60㎟x4C</t>
    <phoneticPr fontId="2"/>
  </si>
  <si>
    <t>CV_600V_60㎟x4C</t>
  </si>
  <si>
    <t>100㎟x4C</t>
    <phoneticPr fontId="2"/>
  </si>
  <si>
    <t>CV_600V_100㎟x4C</t>
  </si>
  <si>
    <t>150㎟x4C</t>
    <phoneticPr fontId="2"/>
  </si>
  <si>
    <t>CV_600V_150㎟x4C</t>
  </si>
  <si>
    <t>200㎟x4C</t>
    <phoneticPr fontId="2"/>
  </si>
  <si>
    <t>CV_600V_200㎟x4C</t>
  </si>
  <si>
    <t>250㎟x4C</t>
    <phoneticPr fontId="2"/>
  </si>
  <si>
    <t>CV_600V_250㎟x4C</t>
  </si>
  <si>
    <t>CV_6600V_14㎟x1C</t>
  </si>
  <si>
    <t>CV_6600V_22㎟x1C</t>
  </si>
  <si>
    <t>CV_6600V_38㎟x1C</t>
  </si>
  <si>
    <t>CV_6600V_60㎟x1C</t>
  </si>
  <si>
    <t>CV_6600V_100㎟x1C</t>
  </si>
  <si>
    <t>CV_6600V_150㎟x1C</t>
  </si>
  <si>
    <t>CV_6600V_200㎟x1C</t>
  </si>
  <si>
    <t>CV_6600V_250㎟x1C</t>
  </si>
  <si>
    <t>CV_6600V_325㎟x1C</t>
  </si>
  <si>
    <t>CV_6600V_14㎟x3C</t>
  </si>
  <si>
    <t>CV_6600V_22㎟x3C</t>
  </si>
  <si>
    <t>CV_6600V_38㎟x3C</t>
  </si>
  <si>
    <t>CV_6600V_60㎟x3C</t>
  </si>
  <si>
    <t>CV_6600V_100㎟x3C</t>
  </si>
  <si>
    <t>CV_6600V_150㎟x3C</t>
  </si>
  <si>
    <t>CV_6600V_200㎟x3C</t>
  </si>
  <si>
    <t>CV_6600V_250㎟x3C</t>
  </si>
  <si>
    <t>CV_6600V_325㎟x3C</t>
  </si>
  <si>
    <t>8㎟×2C</t>
    <phoneticPr fontId="2"/>
  </si>
  <si>
    <t>CVD_600V_8㎟×2C</t>
  </si>
  <si>
    <t>14㎟×2C</t>
    <phoneticPr fontId="2"/>
  </si>
  <si>
    <t>CVD_600V_14㎟×2C</t>
  </si>
  <si>
    <t>CVD_600V_22㎟x2C</t>
  </si>
  <si>
    <t>CVD_600V_38㎟x2C</t>
  </si>
  <si>
    <t>CVD_600V_60㎟x2C</t>
  </si>
  <si>
    <t>CVD_600V_100㎟x2C</t>
  </si>
  <si>
    <t>CVD_600V_150㎟x2C</t>
  </si>
  <si>
    <t>CVD_600V_200㎟x2C</t>
  </si>
  <si>
    <t>CVD_600V_250㎟x2C</t>
  </si>
  <si>
    <t>CVD_600V_325㎟x2C</t>
  </si>
  <si>
    <t>8㎟×3C</t>
    <phoneticPr fontId="2"/>
  </si>
  <si>
    <t>CVT_600V_8㎟×3C</t>
  </si>
  <si>
    <t>14㎟×3C</t>
    <phoneticPr fontId="2"/>
  </si>
  <si>
    <t>CVT_600V_14㎟×3C</t>
  </si>
  <si>
    <t>CVT_600V_22㎟x3C</t>
  </si>
  <si>
    <t>CVT_600V_38㎟x3C</t>
  </si>
  <si>
    <t>CVT_600V_60㎟x3C</t>
  </si>
  <si>
    <t>CVT_600V_100㎟x3C</t>
  </si>
  <si>
    <t>CVT_600V_150㎟x3C</t>
  </si>
  <si>
    <t>CVT_600V_200㎟x3C</t>
  </si>
  <si>
    <t>CVT_600V_250㎟x3C</t>
  </si>
  <si>
    <t>CVT_600V_325㎟x3C</t>
  </si>
  <si>
    <t>CVT_6600V_14㎟×3C</t>
  </si>
  <si>
    <t>CVT_6600V_22㎟x3C</t>
  </si>
  <si>
    <t>CVT_6600V_38㎟x3C</t>
  </si>
  <si>
    <t>CVT_6600V_60㎟x3C</t>
  </si>
  <si>
    <t>CVT_6600V_100㎟x3C</t>
  </si>
  <si>
    <t>CVT_6600V_150㎟x3C</t>
  </si>
  <si>
    <t>CVT_6600V_200㎟x3C</t>
  </si>
  <si>
    <t>CVT_6600V_250㎟x3C</t>
  </si>
  <si>
    <t>CVT_6600V_325㎟x3C</t>
  </si>
  <si>
    <t>14㎟×4C</t>
    <phoneticPr fontId="2"/>
  </si>
  <si>
    <t>CVQ_600V_14㎟×4C</t>
  </si>
  <si>
    <t>CVQ_600V_22㎟x4C</t>
  </si>
  <si>
    <t>CVQ_600V_38㎟x4C</t>
  </si>
  <si>
    <t>CVQ_600V_60㎟x4C</t>
  </si>
  <si>
    <t>CVQ_600V_100㎟x4C</t>
  </si>
  <si>
    <t>CVQ_600V_150㎟x4C</t>
  </si>
  <si>
    <t>CVQ_600V_200㎟x4C</t>
  </si>
  <si>
    <t>CVQ_600V_250㎟x4C</t>
  </si>
  <si>
    <t>325㎟x4C</t>
    <phoneticPr fontId="2"/>
  </si>
  <si>
    <t>CVQ_600V_325㎟x4C</t>
  </si>
  <si>
    <t>8㎟x1C</t>
    <phoneticPr fontId="2"/>
  </si>
  <si>
    <t>EM_600V_CE_F_8㎟x1C</t>
  </si>
  <si>
    <t>EM_600V_CE_F_14㎟x1C</t>
  </si>
  <si>
    <t>EM_600V_CE_F_22㎟x1C</t>
  </si>
  <si>
    <t>EM_600V_CE_F_38㎟x1C</t>
  </si>
  <si>
    <t>EM_600V_CE_F_60㎟x1C</t>
  </si>
  <si>
    <t>EM_600V_CE_F_100㎟x1C</t>
  </si>
  <si>
    <t>EM_600V_CE_F_150㎟x1C</t>
  </si>
  <si>
    <t>EM_600V_CE_F_200㎟x1C</t>
  </si>
  <si>
    <t>EM_600V_CE_F_250㎟x1C</t>
  </si>
  <si>
    <t>EM_600V_CE_F_325㎟x1C</t>
  </si>
  <si>
    <t>EM_600V_CE_F_2㎟x2C</t>
  </si>
  <si>
    <t>EM_600V_CE_F_3.5㎟x2C</t>
  </si>
  <si>
    <t>EM_600V_CE_F_5.5㎟x2C</t>
  </si>
  <si>
    <t>EM_600V_CE_F_8㎟x2C</t>
  </si>
  <si>
    <t>EM_600V_CE_F_14㎟x2C</t>
  </si>
  <si>
    <t>EM_600V_CE_F_22㎟x2C</t>
  </si>
  <si>
    <t>EM_600V_CE_F_38㎟x2C</t>
  </si>
  <si>
    <t>EM_600V_CE_F_60㎟x2C</t>
  </si>
  <si>
    <t>EM_600V_CE_F_100㎟x2C</t>
  </si>
  <si>
    <t>EM_600V_CE_F_150㎟x2C</t>
  </si>
  <si>
    <t>EM_600V_CE_F_200㎟x2C</t>
  </si>
  <si>
    <t>EM_600V_CE_F_250㎟x2C</t>
  </si>
  <si>
    <t>EM_600V_CE_F_325㎟x2C</t>
  </si>
  <si>
    <t>EM_600V_CE_F_2㎟x3C</t>
  </si>
  <si>
    <t>EM_600V_CE_F_3.5㎟x3C</t>
  </si>
  <si>
    <t>EM_600V_CE_F_5.5㎟x3C</t>
  </si>
  <si>
    <t>EM_600V_CE_F_8㎟x3C</t>
  </si>
  <si>
    <t>EM_600V_CE_F_14㎟x3C</t>
  </si>
  <si>
    <t>EM_600V_CE_F_22㎟x3C</t>
  </si>
  <si>
    <t>EM_600V_CE_F_38㎟x3C</t>
  </si>
  <si>
    <t>EM_600V_CE_F_60㎟x3C</t>
  </si>
  <si>
    <t>EM_600V_CE_F_100㎟x3C</t>
  </si>
  <si>
    <t>EM_600V_CE_F_150㎟x3C</t>
  </si>
  <si>
    <t>EM_600V_CE_F_200㎟x3C</t>
  </si>
  <si>
    <t>EM_600V_CE_F_250㎟x3C</t>
  </si>
  <si>
    <t>EM_600V_CE_F_325㎟x3C</t>
  </si>
  <si>
    <t>EM_600V_CE_F_2㎟x4C</t>
  </si>
  <si>
    <t>EM_600V_CE_F_3.5㎟x4C</t>
  </si>
  <si>
    <t>EM_600V_CE_F_5.5㎟x4C</t>
  </si>
  <si>
    <t>EM_600V_CE_F_8㎟x4C</t>
  </si>
  <si>
    <t>EM_600V_CE_F_14㎟x4C</t>
  </si>
  <si>
    <t>EM_600V_CE_F_22㎟x4C</t>
  </si>
  <si>
    <t>EM_600V_CE_F_38㎟x4C</t>
  </si>
  <si>
    <t>EM_600V_CE_F_60㎟x4C</t>
  </si>
  <si>
    <t>EM_600V_CE_F_100㎟x4C</t>
  </si>
  <si>
    <t>EM_600V_CE_F_150㎟x4C</t>
  </si>
  <si>
    <t>EM_600V_CE_F_200㎟x4C</t>
  </si>
  <si>
    <t>EM_600V_CE_F_250㎟x4C</t>
  </si>
  <si>
    <t>EM_601V_CE_F</t>
  </si>
  <si>
    <t>EM_600V_CE_F_325㎟x4C</t>
  </si>
  <si>
    <t>EM_600V_CED_F_8㎟x2C</t>
  </si>
  <si>
    <t>EM_600V_CED_F_14㎟x2C</t>
  </si>
  <si>
    <t>EM_600V_CED_F_22㎟x2C</t>
  </si>
  <si>
    <t>EM_600V_CED_F_38㎟x2C</t>
  </si>
  <si>
    <t>EM_600V_CED_F_60㎟x2C</t>
  </si>
  <si>
    <t>EM_600V_CED_F_100㎟x2C</t>
  </si>
  <si>
    <t>EM_600V_CED_F_150㎟x2C</t>
  </si>
  <si>
    <t>EM_600V_CED_F_200㎟x2C</t>
  </si>
  <si>
    <t>EM_600V_CED_F_250㎟x2C</t>
  </si>
  <si>
    <t>EM_600V_CED_F_325㎟x2C</t>
  </si>
  <si>
    <t>EM_600V_CET_F_8㎟x3C</t>
  </si>
  <si>
    <t>EM_600V_CET_F_14㎟x3C</t>
  </si>
  <si>
    <t>EM_600V_CET_F_22㎟x3C</t>
  </si>
  <si>
    <t>EM_600V_CET_F_38㎟x3C</t>
  </si>
  <si>
    <t>EM_600V_CET_F_60㎟x3C</t>
  </si>
  <si>
    <t>EM_600V_CET_F_100㎟x3C</t>
  </si>
  <si>
    <t>EM_600V_CET_F_150㎟x3C</t>
  </si>
  <si>
    <t>EM_600V_CET_F_200㎟x3C</t>
  </si>
  <si>
    <t>EM_600V_CET_F_250㎟x3C</t>
  </si>
  <si>
    <t>EM_600V_CET_F_325㎟x3C</t>
  </si>
  <si>
    <t>EM_600V_CEQ_F_14㎟x4C</t>
  </si>
  <si>
    <t>EM_600V_CEQ_F_22㎟x4C</t>
  </si>
  <si>
    <t>EM_600V_CEQ_F_38㎟x4C</t>
  </si>
  <si>
    <t>EM_600V_CEQ_F_60㎟x4C</t>
  </si>
  <si>
    <t>EM_600V_CEQ_F_100㎟x4C</t>
  </si>
  <si>
    <t>EM_600V_CEQ_F_150㎟x4C</t>
  </si>
  <si>
    <t>EM_600V_CEQ_F_200㎟x4C</t>
  </si>
  <si>
    <t>EM_600V_CEQ_F_250㎟x4C</t>
  </si>
  <si>
    <t>EM_600V_CEQ_F_325㎟x4C</t>
  </si>
  <si>
    <t>1.6㎜x2C</t>
    <phoneticPr fontId="2"/>
  </si>
  <si>
    <t>EM_600V_EEF_F_1.6㎜x2C</t>
    <phoneticPr fontId="2"/>
  </si>
  <si>
    <t>2.0㎜x2C</t>
    <phoneticPr fontId="2"/>
  </si>
  <si>
    <t>EM_600V_EEF_F_2.0㎜x2C</t>
  </si>
  <si>
    <t>2.6㎜x2C</t>
    <phoneticPr fontId="2"/>
  </si>
  <si>
    <t>EM_600V_EEF_F_2.6㎜x2C</t>
  </si>
  <si>
    <t>1.6㎜x3C</t>
    <phoneticPr fontId="2"/>
  </si>
  <si>
    <t>EM_600V_EEF_F_1.6㎜x3C</t>
  </si>
  <si>
    <t>2.0㎜x3C</t>
    <phoneticPr fontId="2"/>
  </si>
  <si>
    <t>EM_600V_EEF_F_2.0㎜x3C</t>
  </si>
  <si>
    <t>2.6㎜x3C</t>
    <phoneticPr fontId="2"/>
  </si>
  <si>
    <t>EM_600V_EEF_F_2.6㎜x3C</t>
  </si>
  <si>
    <t>EM_6600V_CE_F_14㎟x1C</t>
  </si>
  <si>
    <t>EM_6600V_CE_F_22㎟x1C</t>
  </si>
  <si>
    <t>EM_6600V_CE_F_38㎟x1C</t>
  </si>
  <si>
    <t>EM_6600V_CE_F_60㎟x1C</t>
  </si>
  <si>
    <t>EM_6600V_CE_F_100㎟x1C</t>
  </si>
  <si>
    <t>EM_6600V_CE_F_150㎟x1C</t>
  </si>
  <si>
    <t>EM_6600V_CE_F_200㎟x1C</t>
  </si>
  <si>
    <t>EM_6600V_CE_F_250㎟x1C</t>
  </si>
  <si>
    <t>EM_6600V_CE_F_325㎟x1C</t>
  </si>
  <si>
    <t>EM_6600V_CE_F_14㎟x3C</t>
  </si>
  <si>
    <t>EM_6600V_CE_F_22㎟x3C</t>
  </si>
  <si>
    <t>EM_6600V_CE_F_38㎟x3C</t>
  </si>
  <si>
    <t>EM_6600V_CE_F_60㎟x3C</t>
  </si>
  <si>
    <t>EM_6600V_CE_F_100㎟x3C</t>
  </si>
  <si>
    <t>EM_6600V_CE_F_150㎟x3C</t>
  </si>
  <si>
    <t>EM_6600V_CE_F_200㎟x3C</t>
  </si>
  <si>
    <t>EM_6600V_CE_F_250㎟x3C</t>
  </si>
  <si>
    <t>EM_6600V_CE_F_325㎟x3C</t>
  </si>
  <si>
    <t>14㎟</t>
    <phoneticPr fontId="2"/>
  </si>
  <si>
    <t>EM_6600V_CET_F_14㎟</t>
    <phoneticPr fontId="2"/>
  </si>
  <si>
    <t>22㎟</t>
    <phoneticPr fontId="2"/>
  </si>
  <si>
    <t>EM_6600V_CET_F_22㎟</t>
  </si>
  <si>
    <t>38㎟</t>
    <phoneticPr fontId="2"/>
  </si>
  <si>
    <t>EM_6600V_CET_F_38㎟</t>
  </si>
  <si>
    <t>60㎟</t>
    <phoneticPr fontId="2"/>
  </si>
  <si>
    <t>EM_6600V_CET_F_60㎟</t>
  </si>
  <si>
    <t>100㎟</t>
    <phoneticPr fontId="2"/>
  </si>
  <si>
    <t>EM_6600V_CET_F_100㎟</t>
  </si>
  <si>
    <t>150㎟</t>
    <phoneticPr fontId="2"/>
  </si>
  <si>
    <t>EM_6600V_CET_F_150㎟</t>
  </si>
  <si>
    <t>200㎟</t>
    <phoneticPr fontId="2"/>
  </si>
  <si>
    <t>EM_6600V_CET_F_200㎟</t>
  </si>
  <si>
    <t>250㎟</t>
    <phoneticPr fontId="2"/>
  </si>
  <si>
    <t>EM_6600V_CET_F_250㎟</t>
  </si>
  <si>
    <t>325㎟</t>
    <phoneticPr fontId="2"/>
  </si>
  <si>
    <t>EM_6600V_CET_F_325㎟</t>
  </si>
  <si>
    <t>1.2㎜(単線)</t>
    <rPh sb="5" eb="7">
      <t>タンセン</t>
    </rPh>
    <phoneticPr fontId="2"/>
  </si>
  <si>
    <t>EM_IE_F_1.2㎜(単線)</t>
    <phoneticPr fontId="2"/>
  </si>
  <si>
    <t>EM_IE_F_1.6㎜(単線)</t>
    <phoneticPr fontId="2"/>
  </si>
  <si>
    <t>2.0㎜(単線)</t>
    <phoneticPr fontId="2"/>
  </si>
  <si>
    <t>EM_IE_F_2.0㎜(単線)</t>
    <phoneticPr fontId="2"/>
  </si>
  <si>
    <t>EM_IE_F_2.6㎜(単線)</t>
    <phoneticPr fontId="2"/>
  </si>
  <si>
    <t>1.25㎟(より線)</t>
    <rPh sb="8" eb="9">
      <t>セン</t>
    </rPh>
    <phoneticPr fontId="2"/>
  </si>
  <si>
    <t>EM_IE_F_1.25㎟(より線)</t>
    <phoneticPr fontId="2"/>
  </si>
  <si>
    <t>2.0㎟(より線)</t>
    <phoneticPr fontId="2"/>
  </si>
  <si>
    <t>EM_IE_F_2.0㎟(より線)</t>
  </si>
  <si>
    <t>EM_IE_F_3.5㎟(より線)</t>
  </si>
  <si>
    <t>EM_IE_F_5.5㎟(より線)</t>
  </si>
  <si>
    <t>EM_IE_F_8㎟(より線)</t>
  </si>
  <si>
    <t>EM_IE_F_14㎟(より線)</t>
  </si>
  <si>
    <t>EM_IE_F_22㎟(より線)</t>
  </si>
  <si>
    <t>EM_IE_F_38㎟(より線)</t>
  </si>
  <si>
    <t>EM_IE_F_60㎟(より線)</t>
  </si>
  <si>
    <t>EM_IE_F_100㎟(より線)</t>
  </si>
  <si>
    <t>EM_IE_F_150㎟(より線)</t>
  </si>
  <si>
    <t>EM_IE_F_200㎟(より線)</t>
  </si>
  <si>
    <t>EM_IE_F_250㎟(より線)</t>
  </si>
  <si>
    <t>EM_IE_F_325㎟(より線)</t>
  </si>
  <si>
    <t>導体面積</t>
    <rPh sb="0" eb="4">
      <t>ドウタイメンセキ</t>
    </rPh>
    <phoneticPr fontId="1"/>
  </si>
  <si>
    <t>ケーブル断面積</t>
    <rPh sb="4" eb="7">
      <t>ダンメンセキ</t>
    </rPh>
    <phoneticPr fontId="2"/>
  </si>
  <si>
    <t>認定構造体厚さ</t>
    <rPh sb="0" eb="2">
      <t>ニンテイ</t>
    </rPh>
    <rPh sb="2" eb="5">
      <t>コウゾウタイ</t>
    </rPh>
    <rPh sb="5" eb="6">
      <t>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</si>
</sst>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8"/>
      <color indexed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1" xfId="0" applyFont="1" applyBorder="1" applyProtection="1">
      <alignment vertical="center"/>
      <protection hidden="1"/>
    </xf>
    <xf numFmtId="40" fontId="5" fillId="0" borderId="1" xfId="1" applyNumberFormat="1" applyFont="1" applyBorder="1" applyProtection="1">
      <alignment vertical="center"/>
      <protection hidden="1"/>
    </xf>
    <xf numFmtId="40" fontId="5" fillId="0" borderId="1" xfId="1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locked="0" hidden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Fill="1" applyBorder="1">
      <alignment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0" fillId="0" borderId="0" xfId="0" applyFont="1">
      <alignment vertical="center"/>
    </xf>
    <xf numFmtId="38" fontId="0" fillId="0" borderId="0" xfId="1" applyFont="1" applyBorder="1">
      <alignment vertical="center"/>
    </xf>
    <xf numFmtId="0" fontId="8" fillId="0" borderId="0" xfId="0" applyFont="1" applyAlignment="1" applyProtection="1">
      <alignment horizontal="left" vertical="center" wrapText="1"/>
      <protection hidden="1"/>
    </xf>
    <xf numFmtId="0" fontId="10" fillId="0" borderId="1" xfId="0" applyFont="1" applyBorder="1" applyAlignment="1">
      <alignment horizontal="center" vertical="center"/>
    </xf>
    <xf numFmtId="38" fontId="5" fillId="0" borderId="0" xfId="1" applyFont="1" applyBorder="1" applyProtection="1">
      <alignment vertical="center"/>
      <protection hidden="1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38" fontId="5" fillId="0" borderId="1" xfId="1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vertical="center" shrinkToFit="1"/>
      <protection hidden="1"/>
    </xf>
    <xf numFmtId="38" fontId="5" fillId="0" borderId="0" xfId="1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38" fontId="5" fillId="0" borderId="0" xfId="1" applyFont="1" applyAlignment="1" applyProtection="1">
      <alignment horizontal="center" vertical="center" shrinkToFit="1"/>
      <protection hidden="1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38" fontId="4" fillId="0" borderId="1" xfId="1" applyFont="1" applyBorder="1" applyAlignment="1" applyProtection="1">
      <alignment horizontal="center" vertical="center" shrinkToFit="1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8" fontId="4" fillId="0" borderId="0" xfId="1" applyFont="1" applyBorder="1" applyAlignment="1" applyProtection="1">
      <alignment horizontal="center" vertical="center"/>
      <protection hidden="1"/>
    </xf>
    <xf numFmtId="38" fontId="5" fillId="0" borderId="2" xfId="1" applyFont="1" applyBorder="1" applyAlignment="1" applyProtection="1">
      <alignment horizontal="left" vertical="center" shrinkToFit="1"/>
      <protection hidden="1"/>
    </xf>
    <xf numFmtId="38" fontId="4" fillId="0" borderId="1" xfId="1" applyFont="1" applyBorder="1" applyAlignment="1" applyProtection="1">
      <alignment vertical="center" shrinkToFit="1"/>
      <protection hidden="1"/>
    </xf>
    <xf numFmtId="0" fontId="5" fillId="0" borderId="4" xfId="0" applyFont="1" applyBorder="1" applyAlignment="1" applyProtection="1">
      <alignment vertical="center" shrinkToFit="1"/>
      <protection hidden="1"/>
    </xf>
    <xf numFmtId="2" fontId="0" fillId="0" borderId="0" xfId="0" applyNumberFormat="1">
      <alignment vertical="center"/>
    </xf>
    <xf numFmtId="38" fontId="5" fillId="0" borderId="0" xfId="1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38" fontId="5" fillId="0" borderId="7" xfId="1" applyFont="1" applyBorder="1" applyAlignment="1" applyProtection="1">
      <alignment vertical="center" shrinkToFit="1"/>
      <protection hidden="1"/>
    </xf>
    <xf numFmtId="38" fontId="5" fillId="0" borderId="7" xfId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38" fontId="11" fillId="0" borderId="0" xfId="1" applyFont="1" applyFill="1">
      <alignment vertical="center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76" fontId="11" fillId="0" borderId="0" xfId="0" applyNumberFormat="1" applyFont="1">
      <alignment vertical="center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38" fontId="11" fillId="0" borderId="0" xfId="1" applyFont="1" applyFill="1" applyBorder="1">
      <alignment vertical="center"/>
    </xf>
    <xf numFmtId="38" fontId="4" fillId="0" borderId="0" xfId="1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38" fontId="4" fillId="0" borderId="3" xfId="1" applyFont="1" applyBorder="1" applyAlignment="1" applyProtection="1">
      <alignment horizontal="center" vertical="center" shrinkToFit="1"/>
      <protection hidden="1"/>
    </xf>
    <xf numFmtId="38" fontId="5" fillId="0" borderId="12" xfId="1" applyFont="1" applyBorder="1" applyAlignment="1" applyProtection="1">
      <alignment vertical="center" shrinkToFit="1"/>
      <protection hidden="1"/>
    </xf>
    <xf numFmtId="0" fontId="4" fillId="0" borderId="1" xfId="0" applyFont="1" applyBorder="1" applyAlignment="1" applyProtection="1">
      <alignment vertical="center" shrinkToFit="1"/>
      <protection hidden="1"/>
    </xf>
    <xf numFmtId="38" fontId="5" fillId="5" borderId="1" xfId="1" applyFont="1" applyFill="1" applyBorder="1" applyProtection="1">
      <alignment vertical="center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0" fontId="5" fillId="5" borderId="6" xfId="0" applyFont="1" applyFill="1" applyBorder="1" applyAlignment="1" applyProtection="1">
      <alignment horizontal="center" vertical="center" wrapText="1" shrinkToFit="1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1" xfId="0" applyFont="1" applyFill="1" applyBorder="1" applyAlignment="1" applyProtection="1">
      <alignment vertical="center" shrinkToFit="1"/>
      <protection locked="0" hidden="1"/>
    </xf>
    <xf numFmtId="0" fontId="5" fillId="5" borderId="1" xfId="0" applyFont="1" applyFill="1" applyBorder="1" applyAlignment="1" applyProtection="1">
      <alignment horizontal="right" vertical="center" shrinkToFit="1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38" fontId="4" fillId="0" borderId="1" xfId="1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5" borderId="6" xfId="0" applyFont="1" applyFill="1" applyBorder="1" applyAlignment="1" applyProtection="1">
      <alignment horizontal="left" vertical="center"/>
      <protection locked="0" hidden="1"/>
    </xf>
    <xf numFmtId="0" fontId="4" fillId="5" borderId="8" xfId="0" applyFont="1" applyFill="1" applyBorder="1" applyAlignment="1" applyProtection="1">
      <alignment horizontal="left" vertical="center"/>
      <protection locked="0"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left" vertical="center"/>
      <protection hidden="1"/>
    </xf>
    <xf numFmtId="38" fontId="5" fillId="0" borderId="0" xfId="1" applyFont="1" applyBorder="1" applyAlignment="1" applyProtection="1">
      <alignment horizontal="center" vertical="center" shrinkToFit="1"/>
      <protection hidden="1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DCDB1918-B477-4FBD-BD54-96966C77386D}"/>
  </cellStyles>
  <dxfs count="45">
    <dxf>
      <font>
        <color rgb="FFFF0000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2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2"/>
        <charset val="12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center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numFmt numFmtId="6" formatCode="#,##0;[Red]\-#,##0"/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1"/>
    </dxf>
    <dxf>
      <border outline="0">
        <left style="thin">
          <color theme="0" tint="-0.499984740745262"/>
        </left>
        <right style="thin">
          <color theme="0" tint="-0.34998626667073579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99FF"/>
      <color rgb="FFC56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619B30-5B9D-4D99-8BF5-DD0B2562EA84}" name="テーブル1" displayName="テーブル1" ref="B26:AB46" totalsRowShown="0" headerRowDxfId="44" dataDxfId="43" tableBorderDxfId="42" dataCellStyle="桁区切り">
  <autoFilter ref="B26:AB46" xr:uid="{0D619B30-5B9D-4D99-8BF5-DD0B2562EA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40E35258-9282-4F8B-B9E5-88B0F9D26A60}" name="列1" dataDxfId="41"/>
    <tableColumn id="2" xr3:uid="{227C8417-E63E-42E4-BAD6-3A0D81C181A9}" name="列2" dataDxfId="40"/>
    <tableColumn id="4" xr3:uid="{FC9ECE9E-0CF0-4EFE-9D55-A401F05FB1DB}" name="列3" dataDxfId="39"/>
    <tableColumn id="6" xr3:uid="{F0A88B20-6BE2-49F2-9056-C492A776B226}" name="列4" dataDxfId="38"/>
    <tableColumn id="7" xr3:uid="{89BAEEAE-ABC2-415B-9929-D9A734F9AE78}" name="列6" dataDxfId="37"/>
    <tableColumn id="13" xr3:uid="{B493AA81-D524-4AFF-8D86-AB3AE650C9D5}" name="列64" dataDxfId="36"/>
    <tableColumn id="9" xr3:uid="{04CDCBB6-964D-4CBA-BABE-9304FF7D4AB7}" name="列65" dataDxfId="35"/>
    <tableColumn id="8" xr3:uid="{43A7B732-0D87-4BAB-9A95-EDBEF5629938}" name="列7" dataDxfId="34"/>
    <tableColumn id="17" xr3:uid="{499D3AE1-C382-4DB3-A264-8900523A7685}" name="列62" dataDxfId="33"/>
    <tableColumn id="3" xr3:uid="{572F1479-80DB-4D22-9590-D957B706F48D}" name="列63" dataDxfId="32"/>
    <tableColumn id="5" xr3:uid="{C28D7E5F-7F72-4AC7-BD6C-BD030319F871}" name="列632" dataDxfId="31" dataCellStyle="桁区切り">
      <calculatedColumnFormula>IF(OR($C$25="",テーブル1[[#This Row],[列2]]=""),"",$C$24&amp;"_"&amp;$C$25&amp;"_"&amp;テーブル1[[#This Row],[列2]])</calculatedColumnFormula>
    </tableColumn>
    <tableColumn id="10" xr3:uid="{DE823528-E931-404E-A25A-7DC6889BC2A0}" name="列633" dataDxfId="30" dataCellStyle="桁区切り">
      <calculatedColumnFormula>IFERROR(IF(L27="","",VLOOKUP(L27,冷媒管断面積,2,FALSE)),"")</calculatedColumnFormula>
    </tableColumn>
    <tableColumn id="11" xr3:uid="{952E5B74-AFAE-4D4D-912A-0A1E91F5E534}" name="列634" dataDxfId="29" dataCellStyle="桁区切り">
      <calculatedColumnFormula>IF(OR(テーブル1[[#This Row],[列2]]="",テーブル1[[#This Row],[列2]]&lt;=31.75),"",1)</calculatedColumnFormula>
    </tableColumn>
    <tableColumn id="12" xr3:uid="{04CCBE05-7647-4457-B519-60FF22DF684E}" name="列635" dataDxfId="28" dataCellStyle="桁区切り">
      <calculatedColumnFormula>IF(OR($D$25="",テーブル1[[#This Row],[列3]]=""),"",$D$24&amp;"_"&amp;$D$25&amp;"_"&amp;テーブル1[[#This Row],[列3]])</calculatedColumnFormula>
    </tableColumn>
    <tableColumn id="14" xr3:uid="{A7DED132-8BC4-40CF-B97C-0CE827BBBE6B}" name="列636" dataDxfId="27" dataCellStyle="桁区切り">
      <calculatedColumnFormula>IFERROR(IF(O27="","",VLOOKUP(O27,冷媒管断面積,2,FALSE)),"")</calculatedColumnFormula>
    </tableColumn>
    <tableColumn id="15" xr3:uid="{9B6CC38C-6235-4820-90B1-B101B388E0A3}" name="列637" dataDxfId="26" dataCellStyle="桁区切り">
      <calculatedColumnFormula>IF(OR(テーブル1[[#This Row],[列3]]="",テーブル1[[#This Row],[列3]]&lt;=31.75),"",1)</calculatedColumnFormula>
    </tableColumn>
    <tableColumn id="16" xr3:uid="{E0FC6A4F-0842-4D20-ACD8-B85428B6221C}" name="列638" dataDxfId="25" dataCellStyle="桁区切り">
      <calculatedColumnFormula>IF(OR($E$25="",テーブル1[[#This Row],[列4]]=""),"",$E$24&amp;"_"&amp;$E$25&amp;"_"&amp;テーブル1[[#This Row],[列4]])</calculatedColumnFormula>
    </tableColumn>
    <tableColumn id="18" xr3:uid="{2E61DF3E-89DC-4294-BC1B-CBECE36089E4}" name="列639" dataDxfId="24" dataCellStyle="桁区切り">
      <calculatedColumnFormula>IFERROR(IF(R27="","",VLOOKUP(R27,冷媒管断面積,2,FALSE)),"")</calculatedColumnFormula>
    </tableColumn>
    <tableColumn id="19" xr3:uid="{93F6D322-020A-4943-B734-980F80ABB409}" name="列640" dataDxfId="23" dataCellStyle="桁区切り">
      <calculatedColumnFormula>IF(OR(テーブル1[[#This Row],[列4]]="",テーブル1[[#This Row],[列4]]&lt;=31.75),"",1)</calculatedColumnFormula>
    </tableColumn>
    <tableColumn id="20" xr3:uid="{CD11EE5C-0FE1-4616-AABE-968BD166DDBC}" name="列641" dataDxfId="22" dataCellStyle="桁区切り">
      <calculatedColumnFormula>IF(OR(テーブル1[[#This Row],[列6]]="",テーブル1[[#This Row],[列64]]="",テーブル1[[#This Row],[列65]]=""),"",テーブル1[[#This Row],[列6]]&amp;"_"&amp;テーブル1[[#This Row],[列64]])</calculatedColumnFormula>
    </tableColumn>
    <tableColumn id="25" xr3:uid="{E266053C-D420-4C7C-8854-240D2263903F}" name="列6412" dataDxfId="21" dataCellStyle="桁区切り">
      <calculatedColumnFormula>IFERROR(IF($W$23&lt;VLOOKUP(U27,ケーブル断面積,2,FALSE),1,""),"")</calculatedColumnFormula>
    </tableColumn>
    <tableColumn id="21" xr3:uid="{51479B69-F773-49F5-A99E-6FD89465078D}" name="列642" dataDxfId="20" dataCellStyle="桁区切り">
      <calculatedColumnFormula>IFERROR(IF(U27="","",VLOOKUP(U27,ケーブル断面積,2,FALSE)*テーブル1[[#This Row],[列65]]),"")</calculatedColumnFormula>
    </tableColumn>
    <tableColumn id="22" xr3:uid="{37197696-B06A-4CF3-9FB8-6A3F948E4ED7}" name="列643" dataDxfId="19" dataCellStyle="桁区切り">
      <calculatedColumnFormula>IF(OR(テーブル1[[#This Row],[列7]]="",テーブル1[[#This Row],[列62]]="",テーブル1[[#This Row],[列63]]=""),"",テーブル1[[#This Row],[列7]]&amp;"_"&amp;テーブル1[[#This Row],[列62]])</calculatedColumnFormula>
    </tableColumn>
    <tableColumn id="23" xr3:uid="{2FD5EC29-5235-4C05-831D-F761D6F706CE}" name="列644" dataDxfId="18" dataCellStyle="桁区切り">
      <calculatedColumnFormula>IFERROR(IF(X27="","",VLOOKUP(X27,配管断面積,2,FALSE)*テーブル1[[#This Row],[列63]]),"")</calculatedColumnFormula>
    </tableColumn>
    <tableColumn id="26" xr3:uid="{5E809E62-08AE-4F0A-BF53-9469E6A1C274}" name="列6442" dataDxfId="17" dataCellStyle="桁区切り">
      <calculatedColumnFormula>IF(テーブル1[[#This Row],[列643]]="","",VLOOKUP(テーブル1[[#This Row],[列643]],配管断面積,3,FALSE))</calculatedColumnFormula>
    </tableColumn>
    <tableColumn id="24" xr3:uid="{613616EE-102C-4008-AE63-DBFD461E7A73}" name="列645" dataDxfId="16" dataCellStyle="桁区切り">
      <calculatedColumnFormula>IF(AND(M27="",P27="",S27="",W27="",Y27=""),"",SUM(M27,P27,S27,W27,Y27))</calculatedColumnFormula>
    </tableColumn>
    <tableColumn id="27" xr3:uid="{991EA6A5-08EC-4B9F-ABC0-04021163EAAC}" name="ケーブル断面積" dataDxfId="15" dataCellStyle="桁区切り">
      <calculatedColumnFormula>IFERROR(IF(U27="","",VLOOKUP(U27,ケーブル断面積,3,FALSE)*テーブル1[[#This Row],[列65]]),"")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28D2D9-ADC5-47EC-B522-C424230C6D04}" name="貫通構造" displayName="貫通構造" ref="A2:K12" totalsRowShown="0" headerRowDxfId="14">
  <autoFilter ref="A2:K12" xr:uid="{0528D2D9-ADC5-47EC-B522-C424230C6D04}"/>
  <tableColumns count="11">
    <tableColumn id="1" xr3:uid="{A20498DD-A3F8-4FF0-83FA-3BE526161336}" name="貫通構造"/>
    <tableColumn id="2" xr3:uid="{D071D6E1-8533-4AE4-8A3B-ED9440E278D8}" name="貫通構造2"/>
    <tableColumn id="3" xr3:uid="{14183E21-B2C1-4CCF-A4E2-7D1657804AF6}" name="必要部材"/>
    <tableColumn id="4" xr3:uid="{C6F8C769-B3E5-4148-9525-2ACD62F512EA}" name="構造体厚さ"/>
    <tableColumn id="12" xr3:uid="{9C09A43D-12DE-4055-9B1A-3975AA67891F}" name="W"/>
    <tableColumn id="5" xr3:uid="{6D1ADBBA-5AD1-4B9E-B92A-72025DC1C2CE}" name="H"/>
    <tableColumn id="7" xr3:uid="{47926932-CFA7-4BDB-A20B-C544B88B5878}" name="断面積"/>
    <tableColumn id="8" xr3:uid="{1A99582F-0555-433E-8528-5001842E664B}" name="占積率"/>
    <tableColumn id="9" xr3:uid="{8C42D0B7-C19A-4E21-BB17-938BFF7CAB75}" name="ケーブル1本" dataDxfId="13" dataCellStyle="桁区切り"/>
    <tableColumn id="10" xr3:uid="{96219EA4-F358-4000-B4A0-A2DCEB09F128}" name="ケーブル総合計" dataDxfId="12" dataCellStyle="桁区切り"/>
    <tableColumn id="11" xr3:uid="{71786993-6583-4B3E-8D84-534ECB9F66F9}" name="認定番号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B3DD0D-C857-4CC0-919A-B0ACB7C8CD27}" name="スポンジ選定" displayName="スポンジ選定" ref="C15:H52" totalsRowShown="0">
  <autoFilter ref="C15:H52" xr:uid="{89B3DD0D-C857-4CC0-919A-B0ACB7C8CD27}"/>
  <tableColumns count="6">
    <tableColumn id="1" xr3:uid="{E55BD338-02BB-4AB3-8B2D-994C0A6FD816}" name="開口面積"/>
    <tableColumn id="2" xr3:uid="{D12F3DF0-C6E6-41AD-89F3-B10743F87B4B}" name="列1" dataDxfId="11"/>
    <tableColumn id="3" xr3:uid="{DEE129AF-B86E-491F-9FD2-4B2B708289E9}" name="品番1"/>
    <tableColumn id="4" xr3:uid="{FAEDB906-25DE-4C47-9EBB-0D93898A3A2E}" name="品番2"/>
    <tableColumn id="5" xr3:uid="{74D5ADBA-37FA-4988-B56F-1E2AC842071B}" name="数量1"/>
    <tableColumn id="6" xr3:uid="{562F89B6-EA5B-4205-8ECD-C1675544EC1C}" name="数量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CFDE1B6-5972-423E-884D-1C7C3673F820}" name="中空壁厚" displayName="中空壁厚" ref="C54:E59" totalsRowShown="0">
  <autoFilter ref="C54:E59" xr:uid="{ACFDE1B6-5972-423E-884D-1C7C3673F820}"/>
  <tableColumns count="3">
    <tableColumn id="1" xr3:uid="{5E032D1D-2110-481A-9E2C-F811BEBE58CA}" name="中空壁厚"/>
    <tableColumn id="2" xr3:uid="{9DD0570F-AAD4-447B-93C4-103B142C2779}" name="列1"/>
    <tableColumn id="3" xr3:uid="{C7900E21-56FA-46B5-B353-DDC389511731}" name="品番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3AA197-976B-475A-A309-107C3A198B59}" name="床金具" displayName="床金具" ref="J15:L29" totalsRowShown="0">
  <autoFilter ref="J15:L29" xr:uid="{1F3AA197-976B-475A-A309-107C3A198B59}"/>
  <tableColumns count="3">
    <tableColumn id="1" xr3:uid="{8265AB70-E053-414E-B2DC-E40D5463A9F9}" name="開口幅"/>
    <tableColumn id="2" xr3:uid="{2F689E4D-29F1-4AEC-A34F-539C5BEA8864}" name="列1"/>
    <tableColumn id="3" xr3:uid="{AAD242A9-94FC-4347-8B06-F7D85FD47CA2}" name="品番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CA7972-5316-40EB-82F3-B3D4E3CEF92E}" name="金具方向" displayName="金具方向" ref="A15:A17" totalsRowShown="0">
  <autoFilter ref="A15:A17" xr:uid="{B1CA7972-5316-40EB-82F3-B3D4E3CEF92E}"/>
  <tableColumns count="1">
    <tableColumn id="1" xr3:uid="{7D0DF988-3F5B-47C8-9A97-DDDB61F25C84}" name="金具方向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DE01-56B1-46D4-A2B3-EF38AA957B60}">
  <sheetPr codeName="Sheet1"/>
  <dimension ref="A1:AC46"/>
  <sheetViews>
    <sheetView showGridLines="0" tabSelected="1" zoomScaleNormal="100" workbookViewId="0">
      <pane ySplit="1" topLeftCell="A2" activePane="bottomLeft" state="frozen"/>
      <selection pane="bottomLeft" activeCell="C4" sqref="C4:D4"/>
    </sheetView>
  </sheetViews>
  <sheetFormatPr defaultRowHeight="15" customHeight="1"/>
  <cols>
    <col min="1" max="1" width="1.625" style="2" customWidth="1"/>
    <col min="2" max="2" width="9.625" style="2" customWidth="1"/>
    <col min="3" max="5" width="7.625" style="2" customWidth="1"/>
    <col min="6" max="6" width="9.625" style="2" customWidth="1"/>
    <col min="7" max="7" width="8.625" style="2" customWidth="1"/>
    <col min="8" max="8" width="4.125" style="2" customWidth="1"/>
    <col min="9" max="9" width="14.625" style="2" customWidth="1"/>
    <col min="10" max="10" width="11.625" style="2" customWidth="1"/>
    <col min="11" max="11" width="4.125" style="2" customWidth="1"/>
    <col min="12" max="12" width="15.625" style="34" hidden="1" customWidth="1"/>
    <col min="13" max="13" width="7.625" style="34" hidden="1" customWidth="1"/>
    <col min="14" max="14" width="4.125" style="34" hidden="1" customWidth="1"/>
    <col min="15" max="15" width="15.625" style="34" hidden="1" customWidth="1"/>
    <col min="16" max="16" width="7.625" style="34" hidden="1" customWidth="1"/>
    <col min="17" max="17" width="4.125" style="34" hidden="1" customWidth="1"/>
    <col min="18" max="18" width="15.625" style="34" hidden="1" customWidth="1"/>
    <col min="19" max="19" width="7.625" style="39" hidden="1" customWidth="1"/>
    <col min="20" max="20" width="4.125" style="39" hidden="1" customWidth="1"/>
    <col min="21" max="21" width="15.625" style="34" hidden="1" customWidth="1"/>
    <col min="22" max="22" width="7.625" style="34" hidden="1" customWidth="1"/>
    <col min="23" max="23" width="7.625" style="39" hidden="1" customWidth="1"/>
    <col min="24" max="24" width="15.625" style="34" hidden="1" customWidth="1"/>
    <col min="25" max="25" width="7.625" style="39" hidden="1" customWidth="1"/>
    <col min="26" max="26" width="4.125" style="39" hidden="1" customWidth="1"/>
    <col min="27" max="27" width="9.625" style="39" hidden="1" customWidth="1"/>
    <col min="28" max="28" width="9" style="34" hidden="1" customWidth="1"/>
    <col min="29" max="29" width="9" style="34"/>
    <col min="30" max="16384" width="9" style="2"/>
  </cols>
  <sheetData>
    <row r="1" spans="1:24" ht="32.25" customHeight="1">
      <c r="A1" s="83" t="s">
        <v>0</v>
      </c>
      <c r="B1" s="83"/>
      <c r="C1" s="83"/>
      <c r="D1" s="83"/>
      <c r="E1" s="83"/>
      <c r="F1" s="83"/>
      <c r="G1" s="83"/>
      <c r="J1" s="27"/>
      <c r="K1" s="27"/>
    </row>
    <row r="2" spans="1:24" ht="25.5" customHeight="1">
      <c r="B2" s="9" t="s">
        <v>1</v>
      </c>
    </row>
    <row r="3" spans="1:24" ht="14.25" customHeight="1"/>
    <row r="4" spans="1:24" ht="14.25" customHeight="1">
      <c r="B4" s="8" t="s">
        <v>2</v>
      </c>
      <c r="C4" s="96"/>
      <c r="D4" s="96"/>
      <c r="F4" s="12" t="s">
        <v>388</v>
      </c>
      <c r="G4" s="97" t="str">
        <f>IF(C4="","",VLOOKUP(C4,貫通構造[],11,FALSE))</f>
        <v/>
      </c>
      <c r="H4" s="97"/>
    </row>
    <row r="5" spans="1:24" ht="14.25" customHeight="1">
      <c r="I5" s="10" t="s">
        <v>399</v>
      </c>
    </row>
    <row r="6" spans="1:24" ht="14.25" customHeight="1">
      <c r="F6" s="13" t="s">
        <v>9</v>
      </c>
      <c r="G6" s="74"/>
      <c r="H6" s="2" t="str">
        <f>IF(G6="","","㎜")</f>
        <v/>
      </c>
      <c r="I6" s="13" t="s">
        <v>5</v>
      </c>
      <c r="J6" s="8" t="s">
        <v>426</v>
      </c>
      <c r="K6" s="8" t="s">
        <v>6</v>
      </c>
      <c r="M6" s="35"/>
      <c r="T6" s="51"/>
    </row>
    <row r="7" spans="1:24" ht="14.25" customHeight="1">
      <c r="F7" s="13" t="s">
        <v>10</v>
      </c>
      <c r="G7" s="74"/>
      <c r="H7" s="2" t="str">
        <f>IF(G7="","","㎜")</f>
        <v/>
      </c>
      <c r="I7" s="66" t="s">
        <v>8</v>
      </c>
      <c r="J7" s="5" t="str">
        <f>IFERROR(IF(C16="x","認定外",VLOOKUP(G11,スポンジ選定[],3,TRUE)),"")&amp;""</f>
        <v/>
      </c>
      <c r="K7" s="5" t="str">
        <f>IFERROR(IF(C16="x","",VLOOKUP(G11,スポンジ選定[],5,TRUE)),"")</f>
        <v/>
      </c>
      <c r="R7" s="2"/>
      <c r="S7" s="2"/>
    </row>
    <row r="8" spans="1:24" ht="14.25" customHeight="1">
      <c r="F8" s="61" t="str">
        <f>IF(LEFT(C4,1)="床","床用金具方向","")</f>
        <v/>
      </c>
      <c r="G8" s="80"/>
      <c r="I8" s="67"/>
      <c r="J8" s="5" t="str">
        <f>IFERROR(IF(C16="x","",VLOOKUP(G11,スポンジ選定[],4,TRUE)),"")&amp;""</f>
        <v/>
      </c>
      <c r="K8" s="5" t="str">
        <f>IFERROR(IF(OR(J8="",C16="x"),"",VLOOKUP(G11,スポンジ選定[],6,TRUE)),"")</f>
        <v/>
      </c>
      <c r="R8" s="2"/>
      <c r="S8" s="2"/>
    </row>
    <row r="9" spans="1:24" ht="14.25" customHeight="1">
      <c r="B9" s="8" t="s">
        <v>837</v>
      </c>
      <c r="C9" s="5" t="str">
        <f>IF(C4="","",VLOOKUP(C4,貫通構造[],4,FALSE))</f>
        <v/>
      </c>
      <c r="D9" s="2" t="str">
        <f>IF(C9="","","㎜")</f>
        <v/>
      </c>
      <c r="F9" s="13" t="s">
        <v>7</v>
      </c>
      <c r="G9" s="74"/>
      <c r="H9" s="2" t="str">
        <f>IF(G9="","","㎜")</f>
        <v/>
      </c>
      <c r="I9" s="60" t="str">
        <f>IF(OR(LEFT(C4,3)="中空壁",LEFT(C4,3)="片面壁"),"L金具","")</f>
        <v/>
      </c>
      <c r="J9" s="2" t="str">
        <f>IFERROR(IF(I9="","",IF(C16="x","認定外",VLOOKUP(G9,中空壁厚[],3,TRUE))),"")</f>
        <v/>
      </c>
      <c r="K9" s="2" t="str">
        <f>IF(C16="x","",IF(OR(LEFT(C4,3)="中空壁",LEFT(C4,3)="片面壁"),IF(C4="中空壁",ROUNDUP((G6+G6+G7+G7)/100,0),ROUNDUP(G6/100,0)),""))</f>
        <v/>
      </c>
    </row>
    <row r="10" spans="1:24" ht="14.25" customHeight="1">
      <c r="B10" s="13" t="s">
        <v>3</v>
      </c>
      <c r="C10" s="4" t="str">
        <f>IF(C4="","",VLOOKUP(C4,貫通構造[],8,FALSE))</f>
        <v/>
      </c>
      <c r="D10" s="2" t="str">
        <f>IF(C10="","","%")</f>
        <v/>
      </c>
      <c r="F10" s="13" t="s">
        <v>12</v>
      </c>
      <c r="G10" s="6" t="str">
        <f>IFERROR(IF(G12="","",G12/G11)*100,"")</f>
        <v/>
      </c>
      <c r="H10" s="2" t="str">
        <f>IF(G10="","","%")</f>
        <v/>
      </c>
      <c r="I10" s="45" t="str">
        <f>IF(Z22=0,"","不燃シート")</f>
        <v/>
      </c>
      <c r="J10" s="2" t="str">
        <f>IF(Z22=0,"","MTKB-BSA4")</f>
        <v/>
      </c>
      <c r="K10" s="2" t="str">
        <f>IF(Z22=0,"",Z22)</f>
        <v/>
      </c>
    </row>
    <row r="11" spans="1:24" ht="14.25" customHeight="1">
      <c r="B11" s="13" t="s">
        <v>4</v>
      </c>
      <c r="C11" s="6" t="str">
        <f>IF(C4="","",VLOOKUP(C4,貫通構造[],7,FALSE))</f>
        <v/>
      </c>
      <c r="D11" s="2" t="str">
        <f>IF(C11="","","㎡")</f>
        <v/>
      </c>
      <c r="F11" s="13" t="s">
        <v>11</v>
      </c>
      <c r="G11" s="6" t="str">
        <f>IFERROR(IF(OR(G6="",G7=""),"",(G6*G7)/1000000),"")</f>
        <v/>
      </c>
      <c r="H11" s="2" t="str">
        <f>IF(G11="","","㎡")</f>
        <v/>
      </c>
      <c r="I11" s="3" t="str">
        <f>IF(OR(LEFT(C4,3)="中空壁",LEFT(C4,3)="片面壁"),IF(MOD(G6+G7,100),"*L金具は重ねても使用可能です。",""),"")</f>
        <v/>
      </c>
    </row>
    <row r="12" spans="1:24" ht="14.25" customHeight="1">
      <c r="B12" s="10" t="str">
        <f>IF(U23=0,"","■ケーブル認定導体面積")</f>
        <v/>
      </c>
      <c r="F12" s="12" t="s">
        <v>470</v>
      </c>
      <c r="G12" s="6" t="str">
        <f>IF(AA22="","",AA22/1000000)</f>
        <v/>
      </c>
      <c r="H12" s="33" t="str">
        <f>IF(G12="","","㎡")</f>
        <v/>
      </c>
      <c r="I12" s="45" t="str">
        <f>IF(LEFT(C4,1)="床","床 支持金具","")</f>
        <v/>
      </c>
      <c r="J12" s="2" t="str">
        <f>IFERROR(IF(LEFT(C4,1)="床",(IF(G8="開口寸法W",VLOOKUP(G6,床金具[],3,TRUE),VLOOKUP(G7,床金具[],3,TRUE))),""),"")</f>
        <v/>
      </c>
      <c r="K12" s="2" t="str">
        <f>IF(LEFT(C4,1)="床",(IF(OR(G6="",G7=""),"",IF(G8="開口寸法W",1,ROUNDUP(G6/400,0)))),"")</f>
        <v/>
      </c>
    </row>
    <row r="13" spans="1:24" ht="14.25" customHeight="1">
      <c r="B13" s="45" t="str">
        <f>IF(B12="","","1本あたり")</f>
        <v/>
      </c>
      <c r="C13" s="29" t="str">
        <f>IF(B12="","",V23)</f>
        <v/>
      </c>
      <c r="D13" s="2" t="str">
        <f>IF(C13="","","㎟")</f>
        <v/>
      </c>
      <c r="I13" s="45" t="str">
        <f>IF(LEFT(C4,1)="床","補助シート","")</f>
        <v/>
      </c>
      <c r="J13" s="2" t="str">
        <f>IF(AND(LEFT(C4,1)="床",T22&gt;0),"TK-FHS","")</f>
        <v/>
      </c>
      <c r="K13" s="2" t="str">
        <f>IF(LEFT(C4,1)="床",T22,"")</f>
        <v/>
      </c>
    </row>
    <row r="14" spans="1:24" ht="14.25" customHeight="1">
      <c r="B14" s="45" t="str">
        <f>IF(B12="","","総合計")</f>
        <v/>
      </c>
      <c r="C14" s="29" t="str">
        <f>IF(B12="","",W23)</f>
        <v/>
      </c>
      <c r="D14" s="2" t="str">
        <f>IF(C14="","","㎟")</f>
        <v/>
      </c>
      <c r="F14" s="60" t="str">
        <f>IF(U23&gt;0,"ケーブル導体面積","")</f>
        <v/>
      </c>
      <c r="G14" s="29" t="str">
        <f>IF(U23=0,"",U23)</f>
        <v/>
      </c>
      <c r="H14" s="2" t="str">
        <f>IF(G14="","","㎟")</f>
        <v/>
      </c>
      <c r="S14" s="98"/>
      <c r="T14" s="98"/>
      <c r="U14" s="98"/>
      <c r="V14" s="51"/>
      <c r="W14" s="98"/>
      <c r="X14" s="98"/>
    </row>
    <row r="15" spans="1:24" ht="14.25" customHeight="1">
      <c r="E15" s="14"/>
      <c r="H15" s="62" t="str">
        <f>IF(I15="","","*")</f>
        <v/>
      </c>
      <c r="I15" s="3" t="str">
        <f>IF(LEFT(C4,1)="床",IF(G8="開口寸法W",IF(MOD(G6,100),"支持金具を切断し、開口幅に合わせて下さい。",""),IF(MOD(G7,100),"支持金具を切断し、開口幅に合わせて下さい。","")),"")</f>
        <v/>
      </c>
      <c r="M15" s="60"/>
      <c r="N15" s="60"/>
      <c r="O15" s="82"/>
      <c r="P15" s="82"/>
      <c r="Q15" s="32"/>
      <c r="S15" s="98"/>
      <c r="T15" s="98"/>
      <c r="U15" s="98"/>
      <c r="V15" s="51"/>
      <c r="W15" s="98"/>
      <c r="X15" s="98"/>
    </row>
    <row r="16" spans="1:24" ht="14.25" customHeight="1">
      <c r="B16" s="13" t="s">
        <v>13</v>
      </c>
      <c r="C16" s="7" t="str">
        <f>IF(OR(C4="",G6="",G7="",AA27=""),"",IF(OR(C9&gt;G9,C11&lt;G11,C10&lt;G10),"x","〇"))</f>
        <v/>
      </c>
      <c r="E16" s="92"/>
      <c r="F16" s="92"/>
      <c r="G16" s="92"/>
      <c r="H16" s="92"/>
      <c r="I16" s="92"/>
      <c r="J16" s="92"/>
      <c r="K16" s="92"/>
      <c r="S16" s="38"/>
      <c r="T16" s="38"/>
      <c r="U16" s="38"/>
      <c r="V16" s="38"/>
      <c r="W16" s="98"/>
      <c r="X16" s="98"/>
    </row>
    <row r="17" spans="2:28" ht="14.25" customHeight="1">
      <c r="E17" s="92"/>
      <c r="F17" s="92"/>
      <c r="G17" s="92"/>
      <c r="H17" s="92"/>
      <c r="I17" s="92"/>
      <c r="J17" s="92"/>
      <c r="K17" s="92"/>
      <c r="S17" s="38"/>
      <c r="T17" s="38"/>
      <c r="U17" s="38"/>
      <c r="V17" s="38"/>
      <c r="W17" s="38"/>
      <c r="X17" s="38"/>
    </row>
    <row r="18" spans="2:28" ht="14.25" customHeight="1">
      <c r="E18" s="92"/>
      <c r="F18" s="92"/>
      <c r="G18" s="92"/>
      <c r="H18" s="92"/>
      <c r="I18" s="92"/>
      <c r="J18" s="92"/>
      <c r="K18" s="92"/>
      <c r="O18" s="32"/>
      <c r="P18" s="32"/>
      <c r="Q18" s="32"/>
      <c r="R18" s="32"/>
      <c r="S18" s="40"/>
      <c r="T18" s="40"/>
      <c r="U18" s="32"/>
      <c r="V18" s="32"/>
      <c r="W18" s="40"/>
      <c r="X18" s="32"/>
    </row>
    <row r="19" spans="2:28" ht="14.25" customHeight="1">
      <c r="E19" s="92"/>
      <c r="F19" s="92"/>
      <c r="G19" s="92"/>
      <c r="H19" s="92"/>
      <c r="I19" s="92"/>
      <c r="J19" s="92"/>
      <c r="K19" s="9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8" ht="14.25" customHeight="1">
      <c r="B20" s="69"/>
      <c r="C20" s="70"/>
      <c r="E20" s="92"/>
      <c r="F20" s="92"/>
      <c r="G20" s="92"/>
      <c r="H20" s="92"/>
      <c r="I20" s="92"/>
      <c r="J20" s="92"/>
      <c r="K20" s="9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8" ht="14.25" customHeight="1">
      <c r="E21" s="92"/>
      <c r="F21" s="92"/>
      <c r="G21" s="92"/>
      <c r="H21" s="92"/>
      <c r="I21" s="92"/>
      <c r="J21" s="92"/>
      <c r="K21" s="92"/>
      <c r="M21" s="2"/>
      <c r="N21" s="2"/>
      <c r="O21" s="2"/>
      <c r="P21" s="2"/>
      <c r="Q21" s="2"/>
      <c r="R21" s="2"/>
      <c r="S21" s="2"/>
      <c r="T21" s="12" t="s">
        <v>401</v>
      </c>
      <c r="U21" s="81" t="s">
        <v>422</v>
      </c>
      <c r="V21" s="81"/>
      <c r="W21" s="81"/>
      <c r="X21" s="2"/>
      <c r="Z21" s="43" t="s">
        <v>446</v>
      </c>
      <c r="AA21" s="43" t="s">
        <v>420</v>
      </c>
    </row>
    <row r="22" spans="2:28" ht="14.25" customHeight="1">
      <c r="B22" s="3" t="str">
        <f>IF(OR(C4="",C16="",C16="〇"),"","開口面積、占積率、認定ケーブル導体面積をご確認ください。")</f>
        <v/>
      </c>
      <c r="C22" s="52"/>
      <c r="M22" s="2"/>
      <c r="O22" s="2"/>
      <c r="Q22" s="2"/>
      <c r="R22" s="2"/>
      <c r="T22" s="37" t="str">
        <f>IF(SUM(テーブル1[列634],テーブル1[列637],テーブル1[列640])&gt;0,SUM(テーブル1[列634],テーブル1[列637],テーブル1[列640]),"")</f>
        <v/>
      </c>
      <c r="U22" s="43" t="s">
        <v>420</v>
      </c>
      <c r="V22" s="12" t="s">
        <v>423</v>
      </c>
      <c r="W22" s="48" t="s">
        <v>424</v>
      </c>
      <c r="X22" s="2"/>
      <c r="Y22" s="2" t="str">
        <f>IF(OR(C4="壁",C4="壁_床置工法",C4="中空壁",C4="中空壁_床置工法"),"X","")</f>
        <v/>
      </c>
      <c r="Z22" s="41">
        <f>IF(SUM(テーブル1[列6442])=0,0,(SUM(テーブル1[列6442])))</f>
        <v>0</v>
      </c>
      <c r="AA22" s="41" t="str">
        <f>IF(SUM(テーブル1[列645])=0,"",SUM(テーブル1[列645]))</f>
        <v/>
      </c>
    </row>
    <row r="23" spans="2:28" ht="14.25" customHeight="1">
      <c r="B23" s="13" t="s">
        <v>14</v>
      </c>
      <c r="C23" s="93" t="s">
        <v>340</v>
      </c>
      <c r="D23" s="94"/>
      <c r="E23" s="95"/>
      <c r="F23" s="86" t="s">
        <v>359</v>
      </c>
      <c r="G23" s="87"/>
      <c r="H23" s="88"/>
      <c r="I23" s="86" t="s">
        <v>390</v>
      </c>
      <c r="J23" s="87"/>
      <c r="K23" s="88"/>
      <c r="U23" s="41">
        <f>IF(SUM(テーブル1[ケーブル断面積])=0,0,SUM(テーブル1[ケーブル断面積]))</f>
        <v>0</v>
      </c>
      <c r="V23" s="37" t="str">
        <f>IF(C4="","",VLOOKUP(C4,貫通構造[],9,FALSE))</f>
        <v/>
      </c>
      <c r="W23" s="41" t="str">
        <f>IF(C4="","",VLOOKUP(C4,貫通構造[],10,FALSE))</f>
        <v/>
      </c>
      <c r="Y23" s="39" t="str">
        <f>IF(AND(Y22="X",Z22&gt;0),"x","")</f>
        <v/>
      </c>
      <c r="AA23" s="47"/>
    </row>
    <row r="24" spans="2:28" ht="15" customHeight="1">
      <c r="B24" s="84"/>
      <c r="C24" s="75"/>
      <c r="D24" s="58" t="str">
        <f>IF(C24="","",C24)</f>
        <v/>
      </c>
      <c r="E24" s="58" t="str">
        <f>IF(C24="","",C24)</f>
        <v/>
      </c>
      <c r="F24" s="89"/>
      <c r="G24" s="90"/>
      <c r="H24" s="91"/>
      <c r="I24" s="89"/>
      <c r="J24" s="90"/>
      <c r="K24" s="91"/>
      <c r="L24" s="37" t="str">
        <f>$C$24&amp;"_"&amp;$C$25</f>
        <v>_</v>
      </c>
      <c r="O24" s="37" t="str">
        <f>$D$24&amp;"_"&amp;$D$25</f>
        <v>_</v>
      </c>
      <c r="R24" s="37" t="str">
        <f>$E$24&amp;"_"&amp;$E$25</f>
        <v>_</v>
      </c>
      <c r="U24" s="49"/>
      <c r="V24" s="42" t="str">
        <f>IF(SUM(テーブル1[列6412])&gt;0,"x","〇")</f>
        <v>〇</v>
      </c>
      <c r="W24" s="36" t="str">
        <f>IF($W$23&lt;$U$23,"x","〇")</f>
        <v>〇</v>
      </c>
    </row>
    <row r="25" spans="2:28" ht="13.5" customHeight="1">
      <c r="B25" s="85"/>
      <c r="C25" s="76"/>
      <c r="D25" s="76"/>
      <c r="E25" s="76"/>
      <c r="F25" s="53" t="s">
        <v>392</v>
      </c>
      <c r="G25" s="53" t="s">
        <v>108</v>
      </c>
      <c r="H25" s="53" t="s">
        <v>18</v>
      </c>
      <c r="I25" s="53" t="s">
        <v>391</v>
      </c>
      <c r="J25" s="53" t="s">
        <v>108</v>
      </c>
      <c r="K25" s="53" t="s">
        <v>18</v>
      </c>
      <c r="L25" s="12" t="s">
        <v>402</v>
      </c>
      <c r="M25" s="12" t="s">
        <v>29</v>
      </c>
      <c r="N25" s="12" t="s">
        <v>401</v>
      </c>
      <c r="O25" s="12" t="s">
        <v>403</v>
      </c>
      <c r="P25" s="12" t="s">
        <v>29</v>
      </c>
      <c r="Q25" s="12" t="s">
        <v>401</v>
      </c>
      <c r="R25" s="12" t="s">
        <v>404</v>
      </c>
      <c r="S25" s="12" t="s">
        <v>29</v>
      </c>
      <c r="T25" s="12" t="s">
        <v>401</v>
      </c>
      <c r="U25" s="12" t="s">
        <v>359</v>
      </c>
      <c r="V25" s="12" t="s">
        <v>425</v>
      </c>
      <c r="W25" s="43" t="s">
        <v>29</v>
      </c>
      <c r="X25" s="12" t="s">
        <v>337</v>
      </c>
      <c r="Y25" s="43" t="s">
        <v>29</v>
      </c>
      <c r="Z25" s="43" t="s">
        <v>446</v>
      </c>
      <c r="AA25" s="71" t="s">
        <v>419</v>
      </c>
      <c r="AB25" s="73" t="s">
        <v>836</v>
      </c>
    </row>
    <row r="26" spans="2:28" ht="5.25" hidden="1" customHeight="1">
      <c r="B26" s="56" t="s">
        <v>19</v>
      </c>
      <c r="C26" s="64" t="s">
        <v>471</v>
      </c>
      <c r="D26" s="64" t="s">
        <v>20</v>
      </c>
      <c r="E26" s="65" t="s">
        <v>472</v>
      </c>
      <c r="F26" s="11" t="s">
        <v>21</v>
      </c>
      <c r="G26" s="11" t="s">
        <v>380</v>
      </c>
      <c r="H26" s="11" t="s">
        <v>381</v>
      </c>
      <c r="I26" s="11" t="s">
        <v>22</v>
      </c>
      <c r="J26" s="11" t="s">
        <v>23</v>
      </c>
      <c r="K26" s="11" t="s">
        <v>379</v>
      </c>
      <c r="L26" s="44" t="s">
        <v>405</v>
      </c>
      <c r="M26" s="45" t="s">
        <v>406</v>
      </c>
      <c r="N26" s="45" t="s">
        <v>407</v>
      </c>
      <c r="O26" s="45" t="s">
        <v>408</v>
      </c>
      <c r="P26" s="45" t="s">
        <v>409</v>
      </c>
      <c r="Q26" s="45" t="s">
        <v>410</v>
      </c>
      <c r="R26" s="45" t="s">
        <v>411</v>
      </c>
      <c r="S26" s="46" t="s">
        <v>412</v>
      </c>
      <c r="T26" s="46" t="s">
        <v>413</v>
      </c>
      <c r="U26" s="45" t="s">
        <v>414</v>
      </c>
      <c r="V26" s="45" t="s">
        <v>421</v>
      </c>
      <c r="W26" s="46" t="s">
        <v>415</v>
      </c>
      <c r="X26" s="45" t="s">
        <v>416</v>
      </c>
      <c r="Y26" s="46" t="s">
        <v>417</v>
      </c>
      <c r="Z26" s="46" t="s">
        <v>447</v>
      </c>
      <c r="AA26" s="46" t="s">
        <v>418</v>
      </c>
      <c r="AB26" s="8" t="s">
        <v>836</v>
      </c>
    </row>
    <row r="27" spans="2:28" ht="14.25" customHeight="1">
      <c r="B27" s="77"/>
      <c r="C27" s="78"/>
      <c r="D27" s="78"/>
      <c r="E27" s="78"/>
      <c r="F27" s="78"/>
      <c r="G27" s="79"/>
      <c r="H27" s="78"/>
      <c r="I27" s="78"/>
      <c r="J27" s="79"/>
      <c r="K27" s="78"/>
      <c r="L27" s="54" t="str">
        <f>IF(OR($C$25="",テーブル1[[#This Row],[列2]]=""),"",$C$24&amp;"_"&amp;$C$25&amp;"_"&amp;テーブル1[[#This Row],[列2]])</f>
        <v/>
      </c>
      <c r="M27" s="54" t="str">
        <f>IFERROR(IF(L27="","",VLOOKUP(L27,冷媒管断面積,2,FALSE)),"")</f>
        <v/>
      </c>
      <c r="N27" s="54" t="str">
        <f>IF(OR(テーブル1[[#This Row],[列2]]="",テーブル1[[#This Row],[列2]]&lt;=31.75),"",1)</f>
        <v/>
      </c>
      <c r="O27" s="54" t="str">
        <f>IF(OR($D$25="",テーブル1[[#This Row],[列3]]=""),"",$D$24&amp;"_"&amp;$D$25&amp;"_"&amp;テーブル1[[#This Row],[列3]])</f>
        <v/>
      </c>
      <c r="P27" s="54" t="str">
        <f t="shared" ref="P27:P46" si="0">IFERROR(IF(O27="","",VLOOKUP(O27,冷媒管断面積,2,FALSE)),"")</f>
        <v/>
      </c>
      <c r="Q27" s="54" t="str">
        <f>IF(OR(テーブル1[[#This Row],[列3]]="",テーブル1[[#This Row],[列3]]&lt;=31.75),"",1)</f>
        <v/>
      </c>
      <c r="R27" s="54" t="str">
        <f>IF(OR($E$25="",テーブル1[[#This Row],[列4]]=""),"",$E$24&amp;"_"&amp;$E$25&amp;"_"&amp;テーブル1[[#This Row],[列4]])</f>
        <v/>
      </c>
      <c r="S27" s="54" t="str">
        <f t="shared" ref="S27" si="1">IFERROR(IF(R27="","",VLOOKUP(R27,冷媒管断面積,2,FALSE)),"")</f>
        <v/>
      </c>
      <c r="T27" s="54" t="str">
        <f>IF(OR(テーブル1[[#This Row],[列4]]="",テーブル1[[#This Row],[列4]]&lt;=31.75),"",1)</f>
        <v/>
      </c>
      <c r="U27" s="54" t="str">
        <f>IF(OR(テーブル1[[#This Row],[列6]]="",テーブル1[[#This Row],[列64]]="",テーブル1[[#This Row],[列65]]=""),"",テーブル1[[#This Row],[列6]]&amp;"_"&amp;テーブル1[[#This Row],[列64]])</f>
        <v/>
      </c>
      <c r="V27" s="55" t="str">
        <f t="shared" ref="V27:V46" si="2">IFERROR(IF($W$23&lt;VLOOKUP(U27,ケーブル断面積,2,FALSE),1,""),"")</f>
        <v/>
      </c>
      <c r="W27" s="54" t="str">
        <f>IFERROR(IF(U27="","",VLOOKUP(U27,ケーブル断面積,2,FALSE)*テーブル1[[#This Row],[列65]]),"")</f>
        <v/>
      </c>
      <c r="X27" s="54" t="str">
        <f>IF(OR(テーブル1[[#This Row],[列7]]="",テーブル1[[#This Row],[列62]]="",テーブル1[[#This Row],[列63]]=""),"",テーブル1[[#This Row],[列7]]&amp;"_"&amp;テーブル1[[#This Row],[列62]])</f>
        <v/>
      </c>
      <c r="Y27" s="54" t="str">
        <f>IFERROR(IF(X27="","",VLOOKUP(X27,配管断面積,2,FALSE)*テーブル1[[#This Row],[列63]]),"")</f>
        <v/>
      </c>
      <c r="Z27" s="54" t="str">
        <f>IF(テーブル1[[#This Row],[列643]]="","",VLOOKUP(テーブル1[[#This Row],[列643]],配管断面積,3,FALSE))</f>
        <v/>
      </c>
      <c r="AA27" s="72" t="str">
        <f>IF(AND(M27="",P27="",S27="",W27="",Y27=""),"",SUM(M27,P27,S27,W27,Y27))</f>
        <v/>
      </c>
      <c r="AB27" s="41" t="str">
        <f>IFERROR(IF(U27="","",VLOOKUP(U27,ケーブル断面積,3,FALSE)*テーブル1[[#This Row],[列65]]),"")</f>
        <v/>
      </c>
    </row>
    <row r="28" spans="2:28" ht="14.25" customHeight="1">
      <c r="B28" s="77"/>
      <c r="C28" s="78"/>
      <c r="D28" s="78"/>
      <c r="E28" s="78"/>
      <c r="F28" s="78"/>
      <c r="G28" s="79"/>
      <c r="H28" s="78"/>
      <c r="I28" s="78"/>
      <c r="J28" s="79"/>
      <c r="K28" s="78"/>
      <c r="L28" s="54" t="str">
        <f>IF(OR($C$25="",テーブル1[[#This Row],[列2]]=""),"",$C$24&amp;"_"&amp;$C$25&amp;"_"&amp;テーブル1[[#This Row],[列2]])</f>
        <v/>
      </c>
      <c r="M28" s="54" t="str">
        <f t="shared" ref="M28:M46" si="3">IFERROR(IF(L28="","",VLOOKUP(L28,冷媒管断面積,2,FALSE)),"")</f>
        <v/>
      </c>
      <c r="N28" s="54" t="str">
        <f>IF(OR(テーブル1[[#This Row],[列2]]="",テーブル1[[#This Row],[列2]]&lt;=31.75),"",1)</f>
        <v/>
      </c>
      <c r="O28" s="54" t="str">
        <f>IF(OR($D$25="",テーブル1[[#This Row],[列3]]=""),"",$D$24&amp;"_"&amp;$D$25&amp;"_"&amp;テーブル1[[#This Row],[列3]])</f>
        <v/>
      </c>
      <c r="P28" s="54" t="str">
        <f t="shared" si="0"/>
        <v/>
      </c>
      <c r="Q28" s="54" t="str">
        <f>IF(OR(テーブル1[[#This Row],[列3]]="",テーブル1[[#This Row],[列3]]&lt;=31.75),"",1)</f>
        <v/>
      </c>
      <c r="R28" s="54" t="str">
        <f>IF(OR($E$25="",テーブル1[[#This Row],[列4]]=""),"",$E$24&amp;"_"&amp;$E$25&amp;"_"&amp;テーブル1[[#This Row],[列4]])</f>
        <v/>
      </c>
      <c r="S28" s="54" t="str">
        <f t="shared" ref="S28:S46" si="4">IFERROR(IF(R28="","",VLOOKUP(R28,冷媒管断面積,2,FALSE)),"")</f>
        <v/>
      </c>
      <c r="T28" s="54" t="str">
        <f>IF(OR(テーブル1[[#This Row],[列4]]="",テーブル1[[#This Row],[列4]]&lt;=31.75),"",1)</f>
        <v/>
      </c>
      <c r="U28" s="54" t="str">
        <f>IF(OR(テーブル1[[#This Row],[列6]]="",テーブル1[[#This Row],[列64]]="",テーブル1[[#This Row],[列65]]=""),"",テーブル1[[#This Row],[列6]]&amp;"_"&amp;テーブル1[[#This Row],[列64]])</f>
        <v/>
      </c>
      <c r="V28" s="55" t="str">
        <f t="shared" si="2"/>
        <v/>
      </c>
      <c r="W28" s="54" t="str">
        <f>IFERROR(IF(U28="","",VLOOKUP(U28,ケーブル断面積,2,FALSE)*テーブル1[[#This Row],[列65]]),"")</f>
        <v/>
      </c>
      <c r="X28" s="54" t="str">
        <f>IF(OR(テーブル1[[#This Row],[列7]]="",テーブル1[[#This Row],[列62]]="",テーブル1[[#This Row],[列63]]=""),"",テーブル1[[#This Row],[列7]]&amp;"_"&amp;テーブル1[[#This Row],[列62]])</f>
        <v/>
      </c>
      <c r="Y28" s="54" t="str">
        <f>IFERROR(IF(X28="","",VLOOKUP(X28,配管断面積,2,FALSE)*テーブル1[[#This Row],[列63]]),"")</f>
        <v/>
      </c>
      <c r="Z28" s="54" t="str">
        <f>IF(テーブル1[[#This Row],[列643]]="","",VLOOKUP(テーブル1[[#This Row],[列643]],配管断面積,3,FALSE))</f>
        <v/>
      </c>
      <c r="AA28" s="72" t="str">
        <f t="shared" ref="AA28:AA46" si="5">IF(AND(M28="",P28="",S28="",W28="",Y28=""),"",SUM(M28,P28,S28,W28,Y28))</f>
        <v/>
      </c>
      <c r="AB28" s="41" t="str">
        <f>IFERROR(IF(U28="","",VLOOKUP(U28,ケーブル断面積,3,FALSE)*テーブル1[[#This Row],[列65]]),"")</f>
        <v/>
      </c>
    </row>
    <row r="29" spans="2:28" ht="14.25" customHeight="1">
      <c r="B29" s="77"/>
      <c r="C29" s="78"/>
      <c r="D29" s="78"/>
      <c r="E29" s="78"/>
      <c r="F29" s="78"/>
      <c r="G29" s="79"/>
      <c r="H29" s="78"/>
      <c r="I29" s="78"/>
      <c r="J29" s="79"/>
      <c r="K29" s="78"/>
      <c r="L29" s="54" t="str">
        <f>IF(OR($C$25="",テーブル1[[#This Row],[列2]]=""),"",$C$24&amp;"_"&amp;$C$25&amp;"_"&amp;テーブル1[[#This Row],[列2]])</f>
        <v/>
      </c>
      <c r="M29" s="54" t="str">
        <f t="shared" si="3"/>
        <v/>
      </c>
      <c r="N29" s="54" t="str">
        <f>IF(OR(テーブル1[[#This Row],[列2]]="",テーブル1[[#This Row],[列2]]&lt;=31.75),"",1)</f>
        <v/>
      </c>
      <c r="O29" s="54" t="str">
        <f>IF(OR($D$25="",テーブル1[[#This Row],[列3]]=""),"",$D$24&amp;"_"&amp;$D$25&amp;"_"&amp;テーブル1[[#This Row],[列3]])</f>
        <v/>
      </c>
      <c r="P29" s="54" t="str">
        <f t="shared" si="0"/>
        <v/>
      </c>
      <c r="Q29" s="54" t="str">
        <f>IF(OR(テーブル1[[#This Row],[列3]]="",テーブル1[[#This Row],[列3]]&lt;=31.75),"",1)</f>
        <v/>
      </c>
      <c r="R29" s="54" t="str">
        <f>IF(OR($E$25="",テーブル1[[#This Row],[列4]]=""),"",$E$24&amp;"_"&amp;$E$25&amp;"_"&amp;テーブル1[[#This Row],[列4]])</f>
        <v/>
      </c>
      <c r="S29" s="54" t="str">
        <f t="shared" si="4"/>
        <v/>
      </c>
      <c r="T29" s="54" t="str">
        <f>IF(OR(テーブル1[[#This Row],[列4]]="",テーブル1[[#This Row],[列4]]&lt;=31.75),"",1)</f>
        <v/>
      </c>
      <c r="U29" s="54" t="str">
        <f>IF(OR(テーブル1[[#This Row],[列6]]="",テーブル1[[#This Row],[列64]]="",テーブル1[[#This Row],[列65]]=""),"",テーブル1[[#This Row],[列6]]&amp;"_"&amp;テーブル1[[#This Row],[列64]])</f>
        <v/>
      </c>
      <c r="V29" s="55" t="str">
        <f t="shared" si="2"/>
        <v/>
      </c>
      <c r="W29" s="54" t="str">
        <f>IFERROR(IF(U29="","",VLOOKUP(U29,ケーブル断面積,2,FALSE)*テーブル1[[#This Row],[列65]]),"")</f>
        <v/>
      </c>
      <c r="X29" s="54" t="str">
        <f>IF(OR(テーブル1[[#This Row],[列7]]="",テーブル1[[#This Row],[列62]]="",テーブル1[[#This Row],[列63]]=""),"",テーブル1[[#This Row],[列7]]&amp;"_"&amp;テーブル1[[#This Row],[列62]])</f>
        <v/>
      </c>
      <c r="Y29" s="54" t="str">
        <f>IFERROR(IF(X29="","",VLOOKUP(X29,配管断面積,2,FALSE)*テーブル1[[#This Row],[列63]]),"")</f>
        <v/>
      </c>
      <c r="Z29" s="54" t="str">
        <f>IF(テーブル1[[#This Row],[列643]]="","",VLOOKUP(テーブル1[[#This Row],[列643]],配管断面積,3,FALSE))</f>
        <v/>
      </c>
      <c r="AA29" s="72" t="str">
        <f t="shared" si="5"/>
        <v/>
      </c>
      <c r="AB29" s="41" t="str">
        <f>IFERROR(IF(U29="","",VLOOKUP(U29,ケーブル断面積,3,FALSE)*テーブル1[[#This Row],[列65]]),"")</f>
        <v/>
      </c>
    </row>
    <row r="30" spans="2:28" ht="14.25" customHeight="1">
      <c r="B30" s="77"/>
      <c r="C30" s="78"/>
      <c r="D30" s="78"/>
      <c r="E30" s="78"/>
      <c r="F30" s="78"/>
      <c r="G30" s="79"/>
      <c r="H30" s="78"/>
      <c r="I30" s="78"/>
      <c r="J30" s="79"/>
      <c r="K30" s="78"/>
      <c r="L30" s="54" t="str">
        <f>IF(OR($C$25="",テーブル1[[#This Row],[列2]]=""),"",$C$24&amp;"_"&amp;$C$25&amp;"_"&amp;テーブル1[[#This Row],[列2]])</f>
        <v/>
      </c>
      <c r="M30" s="54" t="str">
        <f t="shared" si="3"/>
        <v/>
      </c>
      <c r="N30" s="54" t="str">
        <f>IF(OR(テーブル1[[#This Row],[列2]]="",テーブル1[[#This Row],[列2]]&lt;=31.75),"",1)</f>
        <v/>
      </c>
      <c r="O30" s="54" t="str">
        <f>IF(OR($D$25="",テーブル1[[#This Row],[列3]]=""),"",$D$24&amp;"_"&amp;$D$25&amp;"_"&amp;テーブル1[[#This Row],[列3]])</f>
        <v/>
      </c>
      <c r="P30" s="54" t="str">
        <f t="shared" si="0"/>
        <v/>
      </c>
      <c r="Q30" s="54" t="str">
        <f>IF(OR(テーブル1[[#This Row],[列3]]="",テーブル1[[#This Row],[列3]]&lt;=31.75),"",1)</f>
        <v/>
      </c>
      <c r="R30" s="54" t="str">
        <f>IF(OR($E$25="",テーブル1[[#This Row],[列4]]=""),"",$E$24&amp;"_"&amp;$E$25&amp;"_"&amp;テーブル1[[#This Row],[列4]])</f>
        <v/>
      </c>
      <c r="S30" s="54" t="str">
        <f t="shared" si="4"/>
        <v/>
      </c>
      <c r="T30" s="54" t="str">
        <f>IF(OR(テーブル1[[#This Row],[列4]]="",テーブル1[[#This Row],[列4]]&lt;=31.75),"",1)</f>
        <v/>
      </c>
      <c r="U30" s="54" t="str">
        <f>IF(OR(テーブル1[[#This Row],[列6]]="",テーブル1[[#This Row],[列64]]="",テーブル1[[#This Row],[列65]]=""),"",テーブル1[[#This Row],[列6]]&amp;"_"&amp;テーブル1[[#This Row],[列64]])</f>
        <v/>
      </c>
      <c r="V30" s="55" t="str">
        <f t="shared" si="2"/>
        <v/>
      </c>
      <c r="W30" s="54" t="str">
        <f>IFERROR(IF(U30="","",VLOOKUP(U30,ケーブル断面積,2,FALSE)*テーブル1[[#This Row],[列65]]),"")</f>
        <v/>
      </c>
      <c r="X30" s="54" t="str">
        <f>IF(OR(テーブル1[[#This Row],[列7]]="",テーブル1[[#This Row],[列62]]="",テーブル1[[#This Row],[列63]]=""),"",テーブル1[[#This Row],[列7]]&amp;"_"&amp;テーブル1[[#This Row],[列62]])</f>
        <v/>
      </c>
      <c r="Y30" s="54" t="str">
        <f>IFERROR(IF(X30="","",VLOOKUP(X30,配管断面積,2,FALSE)*テーブル1[[#This Row],[列63]]),"")</f>
        <v/>
      </c>
      <c r="Z30" s="54" t="str">
        <f>IF(テーブル1[[#This Row],[列643]]="","",VLOOKUP(テーブル1[[#This Row],[列643]],配管断面積,3,FALSE))</f>
        <v/>
      </c>
      <c r="AA30" s="72" t="str">
        <f t="shared" si="5"/>
        <v/>
      </c>
      <c r="AB30" s="41" t="str">
        <f>IFERROR(IF(U30="","",VLOOKUP(U30,ケーブル断面積,3,FALSE)*テーブル1[[#This Row],[列65]]),"")</f>
        <v/>
      </c>
    </row>
    <row r="31" spans="2:28" ht="14.25" customHeight="1">
      <c r="B31" s="77"/>
      <c r="C31" s="78"/>
      <c r="D31" s="78"/>
      <c r="E31" s="78"/>
      <c r="F31" s="78"/>
      <c r="G31" s="79"/>
      <c r="H31" s="78"/>
      <c r="I31" s="78"/>
      <c r="J31" s="79"/>
      <c r="K31" s="78"/>
      <c r="L31" s="54" t="str">
        <f>IF(OR($C$25="",テーブル1[[#This Row],[列2]]=""),"",$C$24&amp;"_"&amp;$C$25&amp;"_"&amp;テーブル1[[#This Row],[列2]])</f>
        <v/>
      </c>
      <c r="M31" s="54" t="str">
        <f t="shared" si="3"/>
        <v/>
      </c>
      <c r="N31" s="54" t="str">
        <f>IF(OR(テーブル1[[#This Row],[列2]]="",テーブル1[[#This Row],[列2]]&lt;=31.75),"",1)</f>
        <v/>
      </c>
      <c r="O31" s="54" t="str">
        <f>IF(OR($D$25="",テーブル1[[#This Row],[列3]]=""),"",$D$24&amp;"_"&amp;$D$25&amp;"_"&amp;テーブル1[[#This Row],[列3]])</f>
        <v/>
      </c>
      <c r="P31" s="54" t="str">
        <f t="shared" si="0"/>
        <v/>
      </c>
      <c r="Q31" s="54" t="str">
        <f>IF(OR(テーブル1[[#This Row],[列3]]="",テーブル1[[#This Row],[列3]]&lt;=31.75),"",1)</f>
        <v/>
      </c>
      <c r="R31" s="54" t="str">
        <f>IF(OR($E$25="",テーブル1[[#This Row],[列4]]=""),"",$E$24&amp;"_"&amp;$E$25&amp;"_"&amp;テーブル1[[#This Row],[列4]])</f>
        <v/>
      </c>
      <c r="S31" s="54" t="str">
        <f t="shared" si="4"/>
        <v/>
      </c>
      <c r="T31" s="54" t="str">
        <f>IF(OR(テーブル1[[#This Row],[列4]]="",テーブル1[[#This Row],[列4]]&lt;=31.75),"",1)</f>
        <v/>
      </c>
      <c r="U31" s="54" t="str">
        <f>IF(OR(テーブル1[[#This Row],[列6]]="",テーブル1[[#This Row],[列64]]="",テーブル1[[#This Row],[列65]]=""),"",テーブル1[[#This Row],[列6]]&amp;"_"&amp;テーブル1[[#This Row],[列64]])</f>
        <v/>
      </c>
      <c r="V31" s="55" t="str">
        <f t="shared" si="2"/>
        <v/>
      </c>
      <c r="W31" s="54" t="str">
        <f>IFERROR(IF(U31="","",VLOOKUP(U31,ケーブル断面積,2,FALSE)*テーブル1[[#This Row],[列65]]),"")</f>
        <v/>
      </c>
      <c r="X31" s="54" t="str">
        <f>IF(OR(テーブル1[[#This Row],[列7]]="",テーブル1[[#This Row],[列62]]="",テーブル1[[#This Row],[列63]]=""),"",テーブル1[[#This Row],[列7]]&amp;"_"&amp;テーブル1[[#This Row],[列62]])</f>
        <v/>
      </c>
      <c r="Y31" s="54" t="str">
        <f>IFERROR(IF(X31="","",VLOOKUP(X31,配管断面積,2,FALSE)*テーブル1[[#This Row],[列63]]),"")</f>
        <v/>
      </c>
      <c r="Z31" s="54" t="str">
        <f>IF(テーブル1[[#This Row],[列643]]="","",VLOOKUP(テーブル1[[#This Row],[列643]],配管断面積,3,FALSE))</f>
        <v/>
      </c>
      <c r="AA31" s="72" t="str">
        <f t="shared" si="5"/>
        <v/>
      </c>
      <c r="AB31" s="41" t="str">
        <f>IFERROR(IF(U31="","",VLOOKUP(U31,ケーブル断面積,3,FALSE)*テーブル1[[#This Row],[列65]]),"")</f>
        <v/>
      </c>
    </row>
    <row r="32" spans="2:28" ht="14.25" customHeight="1">
      <c r="B32" s="77"/>
      <c r="C32" s="78"/>
      <c r="D32" s="78"/>
      <c r="E32" s="78"/>
      <c r="F32" s="78"/>
      <c r="G32" s="79"/>
      <c r="H32" s="78"/>
      <c r="I32" s="78"/>
      <c r="J32" s="79"/>
      <c r="K32" s="78"/>
      <c r="L32" s="54" t="str">
        <f>IF(OR($C$25="",テーブル1[[#This Row],[列2]]=""),"",$C$24&amp;"_"&amp;$C$25&amp;"_"&amp;テーブル1[[#This Row],[列2]])</f>
        <v/>
      </c>
      <c r="M32" s="54" t="str">
        <f t="shared" si="3"/>
        <v/>
      </c>
      <c r="N32" s="54" t="str">
        <f>IF(OR(テーブル1[[#This Row],[列2]]="",テーブル1[[#This Row],[列2]]&lt;=31.75),"",1)</f>
        <v/>
      </c>
      <c r="O32" s="54" t="str">
        <f>IF(OR($D$25="",テーブル1[[#This Row],[列3]]=""),"",$D$24&amp;"_"&amp;$D$25&amp;"_"&amp;テーブル1[[#This Row],[列3]])</f>
        <v/>
      </c>
      <c r="P32" s="54" t="str">
        <f t="shared" si="0"/>
        <v/>
      </c>
      <c r="Q32" s="54" t="str">
        <f>IF(OR(テーブル1[[#This Row],[列3]]="",テーブル1[[#This Row],[列3]]&lt;=31.75),"",1)</f>
        <v/>
      </c>
      <c r="R32" s="54" t="str">
        <f>IF(OR($E$25="",テーブル1[[#This Row],[列4]]=""),"",$E$24&amp;"_"&amp;$E$25&amp;"_"&amp;テーブル1[[#This Row],[列4]])</f>
        <v/>
      </c>
      <c r="S32" s="54" t="str">
        <f t="shared" si="4"/>
        <v/>
      </c>
      <c r="T32" s="54" t="str">
        <f>IF(OR(テーブル1[[#This Row],[列4]]="",テーブル1[[#This Row],[列4]]&lt;=31.75),"",1)</f>
        <v/>
      </c>
      <c r="U32" s="54" t="str">
        <f>IF(OR(テーブル1[[#This Row],[列6]]="",テーブル1[[#This Row],[列64]]="",テーブル1[[#This Row],[列65]]=""),"",テーブル1[[#This Row],[列6]]&amp;"_"&amp;テーブル1[[#This Row],[列64]])</f>
        <v/>
      </c>
      <c r="V32" s="55" t="str">
        <f t="shared" si="2"/>
        <v/>
      </c>
      <c r="W32" s="54" t="str">
        <f>IFERROR(IF(U32="","",VLOOKUP(U32,ケーブル断面積,2,FALSE)*テーブル1[[#This Row],[列65]]),"")</f>
        <v/>
      </c>
      <c r="X32" s="54" t="str">
        <f>IF(OR(テーブル1[[#This Row],[列7]]="",テーブル1[[#This Row],[列62]]="",テーブル1[[#This Row],[列63]]=""),"",テーブル1[[#This Row],[列7]]&amp;"_"&amp;テーブル1[[#This Row],[列62]])</f>
        <v/>
      </c>
      <c r="Y32" s="54" t="str">
        <f>IFERROR(IF(X32="","",VLOOKUP(X32,配管断面積,2,FALSE)*テーブル1[[#This Row],[列63]]),"")</f>
        <v/>
      </c>
      <c r="Z32" s="54" t="str">
        <f>IF(テーブル1[[#This Row],[列643]]="","",VLOOKUP(テーブル1[[#This Row],[列643]],配管断面積,3,FALSE))</f>
        <v/>
      </c>
      <c r="AA32" s="72" t="str">
        <f t="shared" si="5"/>
        <v/>
      </c>
      <c r="AB32" s="41" t="str">
        <f>IFERROR(IF(U32="","",VLOOKUP(U32,ケーブル断面積,3,FALSE)*テーブル1[[#This Row],[列65]]),"")</f>
        <v/>
      </c>
    </row>
    <row r="33" spans="2:28" ht="14.25" customHeight="1">
      <c r="B33" s="77"/>
      <c r="C33" s="78"/>
      <c r="D33" s="78"/>
      <c r="E33" s="78"/>
      <c r="F33" s="78"/>
      <c r="G33" s="79"/>
      <c r="H33" s="78"/>
      <c r="I33" s="78"/>
      <c r="J33" s="79"/>
      <c r="K33" s="78"/>
      <c r="L33" s="54" t="str">
        <f>IF(OR($C$25="",テーブル1[[#This Row],[列2]]=""),"",$C$24&amp;"_"&amp;$C$25&amp;"_"&amp;テーブル1[[#This Row],[列2]])</f>
        <v/>
      </c>
      <c r="M33" s="54" t="str">
        <f t="shared" si="3"/>
        <v/>
      </c>
      <c r="N33" s="54" t="str">
        <f>IF(OR(テーブル1[[#This Row],[列2]]="",テーブル1[[#This Row],[列2]]&lt;=31.75),"",1)</f>
        <v/>
      </c>
      <c r="O33" s="54" t="str">
        <f>IF(OR($D$25="",テーブル1[[#This Row],[列3]]=""),"",$D$24&amp;"_"&amp;$D$25&amp;"_"&amp;テーブル1[[#This Row],[列3]])</f>
        <v/>
      </c>
      <c r="P33" s="54" t="str">
        <f t="shared" si="0"/>
        <v/>
      </c>
      <c r="Q33" s="54" t="str">
        <f>IF(OR(テーブル1[[#This Row],[列3]]="",テーブル1[[#This Row],[列3]]&lt;=31.75),"",1)</f>
        <v/>
      </c>
      <c r="R33" s="54" t="str">
        <f>IF(OR($E$25="",テーブル1[[#This Row],[列4]]=""),"",$E$24&amp;"_"&amp;$E$25&amp;"_"&amp;テーブル1[[#This Row],[列4]])</f>
        <v/>
      </c>
      <c r="S33" s="54" t="str">
        <f t="shared" si="4"/>
        <v/>
      </c>
      <c r="T33" s="54" t="str">
        <f>IF(OR(テーブル1[[#This Row],[列4]]="",テーブル1[[#This Row],[列4]]&lt;=31.75),"",1)</f>
        <v/>
      </c>
      <c r="U33" s="54" t="str">
        <f>IF(OR(テーブル1[[#This Row],[列6]]="",テーブル1[[#This Row],[列64]]="",テーブル1[[#This Row],[列65]]=""),"",テーブル1[[#This Row],[列6]]&amp;"_"&amp;テーブル1[[#This Row],[列64]])</f>
        <v/>
      </c>
      <c r="V33" s="55" t="str">
        <f t="shared" si="2"/>
        <v/>
      </c>
      <c r="W33" s="54" t="str">
        <f>IFERROR(IF(U33="","",VLOOKUP(U33,ケーブル断面積,2,FALSE)*テーブル1[[#This Row],[列65]]),"")</f>
        <v/>
      </c>
      <c r="X33" s="54" t="str">
        <f>IF(OR(テーブル1[[#This Row],[列7]]="",テーブル1[[#This Row],[列62]]="",テーブル1[[#This Row],[列63]]=""),"",テーブル1[[#This Row],[列7]]&amp;"_"&amp;テーブル1[[#This Row],[列62]])</f>
        <v/>
      </c>
      <c r="Y33" s="54" t="str">
        <f>IFERROR(IF(X33="","",VLOOKUP(X33,配管断面積,2,FALSE)*テーブル1[[#This Row],[列63]]),"")</f>
        <v/>
      </c>
      <c r="Z33" s="54" t="str">
        <f>IF(テーブル1[[#This Row],[列643]]="","",VLOOKUP(テーブル1[[#This Row],[列643]],配管断面積,3,FALSE))</f>
        <v/>
      </c>
      <c r="AA33" s="72" t="str">
        <f t="shared" si="5"/>
        <v/>
      </c>
      <c r="AB33" s="41" t="str">
        <f>IFERROR(IF(U33="","",VLOOKUP(U33,ケーブル断面積,3,FALSE)*テーブル1[[#This Row],[列65]]),"")</f>
        <v/>
      </c>
    </row>
    <row r="34" spans="2:28" ht="14.25" customHeight="1">
      <c r="B34" s="77"/>
      <c r="C34" s="78"/>
      <c r="D34" s="78"/>
      <c r="E34" s="78"/>
      <c r="F34" s="78"/>
      <c r="G34" s="79"/>
      <c r="H34" s="78"/>
      <c r="I34" s="78"/>
      <c r="J34" s="79"/>
      <c r="K34" s="78"/>
      <c r="L34" s="54" t="str">
        <f>IF(OR($C$25="",テーブル1[[#This Row],[列2]]=""),"",$C$24&amp;"_"&amp;$C$25&amp;"_"&amp;テーブル1[[#This Row],[列2]])</f>
        <v/>
      </c>
      <c r="M34" s="54" t="str">
        <f t="shared" si="3"/>
        <v/>
      </c>
      <c r="N34" s="54" t="str">
        <f>IF(OR(テーブル1[[#This Row],[列2]]="",テーブル1[[#This Row],[列2]]&lt;=31.75),"",1)</f>
        <v/>
      </c>
      <c r="O34" s="54" t="str">
        <f>IF(OR($D$25="",テーブル1[[#This Row],[列3]]=""),"",$D$24&amp;"_"&amp;$D$25&amp;"_"&amp;テーブル1[[#This Row],[列3]])</f>
        <v/>
      </c>
      <c r="P34" s="54" t="str">
        <f t="shared" si="0"/>
        <v/>
      </c>
      <c r="Q34" s="54" t="str">
        <f>IF(OR(テーブル1[[#This Row],[列3]]="",テーブル1[[#This Row],[列3]]&lt;=31.75),"",1)</f>
        <v/>
      </c>
      <c r="R34" s="54" t="str">
        <f>IF(OR($E$25="",テーブル1[[#This Row],[列4]]=""),"",$E$24&amp;"_"&amp;$E$25&amp;"_"&amp;テーブル1[[#This Row],[列4]])</f>
        <v/>
      </c>
      <c r="S34" s="54" t="str">
        <f t="shared" si="4"/>
        <v/>
      </c>
      <c r="T34" s="54" t="str">
        <f>IF(OR(テーブル1[[#This Row],[列4]]="",テーブル1[[#This Row],[列4]]&lt;=31.75),"",1)</f>
        <v/>
      </c>
      <c r="U34" s="54" t="str">
        <f>IF(OR(テーブル1[[#This Row],[列6]]="",テーブル1[[#This Row],[列64]]="",テーブル1[[#This Row],[列65]]=""),"",テーブル1[[#This Row],[列6]]&amp;"_"&amp;テーブル1[[#This Row],[列64]])</f>
        <v/>
      </c>
      <c r="V34" s="55" t="str">
        <f t="shared" si="2"/>
        <v/>
      </c>
      <c r="W34" s="54" t="str">
        <f>IFERROR(IF(U34="","",VLOOKUP(U34,ケーブル断面積,2,FALSE)*テーブル1[[#This Row],[列65]]),"")</f>
        <v/>
      </c>
      <c r="X34" s="54" t="str">
        <f>IF(OR(テーブル1[[#This Row],[列7]]="",テーブル1[[#This Row],[列62]]="",テーブル1[[#This Row],[列63]]=""),"",テーブル1[[#This Row],[列7]]&amp;"_"&amp;テーブル1[[#This Row],[列62]])</f>
        <v/>
      </c>
      <c r="Y34" s="54" t="str">
        <f>IFERROR(IF(X34="","",VLOOKUP(X34,配管断面積,2,FALSE)*テーブル1[[#This Row],[列63]]),"")</f>
        <v/>
      </c>
      <c r="Z34" s="54" t="str">
        <f>IF(テーブル1[[#This Row],[列643]]="","",VLOOKUP(テーブル1[[#This Row],[列643]],配管断面積,3,FALSE))</f>
        <v/>
      </c>
      <c r="AA34" s="72" t="str">
        <f t="shared" si="5"/>
        <v/>
      </c>
      <c r="AB34" s="41" t="str">
        <f>IFERROR(IF(U34="","",VLOOKUP(U34,ケーブル断面積,3,FALSE)*テーブル1[[#This Row],[列65]]),"")</f>
        <v/>
      </c>
    </row>
    <row r="35" spans="2:28" ht="14.25" customHeight="1">
      <c r="B35" s="77"/>
      <c r="C35" s="78"/>
      <c r="D35" s="78"/>
      <c r="E35" s="78"/>
      <c r="F35" s="78"/>
      <c r="G35" s="79"/>
      <c r="H35" s="78"/>
      <c r="I35" s="78"/>
      <c r="J35" s="79"/>
      <c r="K35" s="78"/>
      <c r="L35" s="54" t="str">
        <f>IF(OR($C$25="",テーブル1[[#This Row],[列2]]=""),"",$C$24&amp;"_"&amp;$C$25&amp;"_"&amp;テーブル1[[#This Row],[列2]])</f>
        <v/>
      </c>
      <c r="M35" s="54" t="str">
        <f t="shared" si="3"/>
        <v/>
      </c>
      <c r="N35" s="54" t="str">
        <f>IF(OR(テーブル1[[#This Row],[列2]]="",テーブル1[[#This Row],[列2]]&lt;=31.75),"",1)</f>
        <v/>
      </c>
      <c r="O35" s="54" t="str">
        <f>IF(OR($D$25="",テーブル1[[#This Row],[列3]]=""),"",$D$24&amp;"_"&amp;$D$25&amp;"_"&amp;テーブル1[[#This Row],[列3]])</f>
        <v/>
      </c>
      <c r="P35" s="54" t="str">
        <f t="shared" si="0"/>
        <v/>
      </c>
      <c r="Q35" s="54" t="str">
        <f>IF(OR(テーブル1[[#This Row],[列3]]="",テーブル1[[#This Row],[列3]]&lt;=31.75),"",1)</f>
        <v/>
      </c>
      <c r="R35" s="54" t="str">
        <f>IF(OR($E$25="",テーブル1[[#This Row],[列4]]=""),"",$E$24&amp;"_"&amp;$E$25&amp;"_"&amp;テーブル1[[#This Row],[列4]])</f>
        <v/>
      </c>
      <c r="S35" s="54" t="str">
        <f t="shared" si="4"/>
        <v/>
      </c>
      <c r="T35" s="54" t="str">
        <f>IF(OR(テーブル1[[#This Row],[列4]]="",テーブル1[[#This Row],[列4]]&lt;=31.75),"",1)</f>
        <v/>
      </c>
      <c r="U35" s="54" t="str">
        <f>IF(OR(テーブル1[[#This Row],[列6]]="",テーブル1[[#This Row],[列64]]="",テーブル1[[#This Row],[列65]]=""),"",テーブル1[[#This Row],[列6]]&amp;"_"&amp;テーブル1[[#This Row],[列64]])</f>
        <v/>
      </c>
      <c r="V35" s="55" t="str">
        <f t="shared" si="2"/>
        <v/>
      </c>
      <c r="W35" s="54" t="str">
        <f>IFERROR(IF(U35="","",VLOOKUP(U35,ケーブル断面積,2,FALSE)*テーブル1[[#This Row],[列65]]),"")</f>
        <v/>
      </c>
      <c r="X35" s="54" t="str">
        <f>IF(OR(テーブル1[[#This Row],[列7]]="",テーブル1[[#This Row],[列62]]="",テーブル1[[#This Row],[列63]]=""),"",テーブル1[[#This Row],[列7]]&amp;"_"&amp;テーブル1[[#This Row],[列62]])</f>
        <v/>
      </c>
      <c r="Y35" s="54" t="str">
        <f>IFERROR(IF(X35="","",VLOOKUP(X35,配管断面積,2,FALSE)*テーブル1[[#This Row],[列63]]),"")</f>
        <v/>
      </c>
      <c r="Z35" s="54" t="str">
        <f>IF(テーブル1[[#This Row],[列643]]="","",VLOOKUP(テーブル1[[#This Row],[列643]],配管断面積,3,FALSE))</f>
        <v/>
      </c>
      <c r="AA35" s="72" t="str">
        <f t="shared" si="5"/>
        <v/>
      </c>
      <c r="AB35" s="41" t="str">
        <f>IFERROR(IF(U35="","",VLOOKUP(U35,ケーブル断面積,3,FALSE)*テーブル1[[#This Row],[列65]]),"")</f>
        <v/>
      </c>
    </row>
    <row r="36" spans="2:28" ht="14.25" customHeight="1">
      <c r="B36" s="77"/>
      <c r="C36" s="78"/>
      <c r="D36" s="78"/>
      <c r="E36" s="78"/>
      <c r="F36" s="78"/>
      <c r="G36" s="79"/>
      <c r="H36" s="78"/>
      <c r="I36" s="78"/>
      <c r="J36" s="79"/>
      <c r="K36" s="78"/>
      <c r="L36" s="54" t="str">
        <f>IF(OR($C$25="",テーブル1[[#This Row],[列2]]=""),"",$C$24&amp;"_"&amp;$C$25&amp;"_"&amp;テーブル1[[#This Row],[列2]])</f>
        <v/>
      </c>
      <c r="M36" s="54" t="str">
        <f t="shared" si="3"/>
        <v/>
      </c>
      <c r="N36" s="54" t="str">
        <f>IF(OR(テーブル1[[#This Row],[列2]]="",テーブル1[[#This Row],[列2]]&lt;=31.75),"",1)</f>
        <v/>
      </c>
      <c r="O36" s="54" t="str">
        <f>IF(OR($D$25="",テーブル1[[#This Row],[列3]]=""),"",$D$24&amp;"_"&amp;$D$25&amp;"_"&amp;テーブル1[[#This Row],[列3]])</f>
        <v/>
      </c>
      <c r="P36" s="54" t="str">
        <f t="shared" si="0"/>
        <v/>
      </c>
      <c r="Q36" s="54" t="str">
        <f>IF(OR(テーブル1[[#This Row],[列3]]="",テーブル1[[#This Row],[列3]]&lt;=31.75),"",1)</f>
        <v/>
      </c>
      <c r="R36" s="54" t="str">
        <f>IF(OR($E$25="",テーブル1[[#This Row],[列4]]=""),"",$E$24&amp;"_"&amp;$E$25&amp;"_"&amp;テーブル1[[#This Row],[列4]])</f>
        <v/>
      </c>
      <c r="S36" s="54" t="str">
        <f t="shared" si="4"/>
        <v/>
      </c>
      <c r="T36" s="54" t="str">
        <f>IF(OR(テーブル1[[#This Row],[列4]]="",テーブル1[[#This Row],[列4]]&lt;=31.75),"",1)</f>
        <v/>
      </c>
      <c r="U36" s="54" t="str">
        <f>IF(OR(テーブル1[[#This Row],[列6]]="",テーブル1[[#This Row],[列64]]="",テーブル1[[#This Row],[列65]]=""),"",テーブル1[[#This Row],[列6]]&amp;"_"&amp;テーブル1[[#This Row],[列64]])</f>
        <v/>
      </c>
      <c r="V36" s="55" t="str">
        <f t="shared" si="2"/>
        <v/>
      </c>
      <c r="W36" s="54" t="str">
        <f>IFERROR(IF(U36="","",VLOOKUP(U36,ケーブル断面積,2,FALSE)*テーブル1[[#This Row],[列65]]),"")</f>
        <v/>
      </c>
      <c r="X36" s="54" t="str">
        <f>IF(OR(テーブル1[[#This Row],[列7]]="",テーブル1[[#This Row],[列62]]="",テーブル1[[#This Row],[列63]]=""),"",テーブル1[[#This Row],[列7]]&amp;"_"&amp;テーブル1[[#This Row],[列62]])</f>
        <v/>
      </c>
      <c r="Y36" s="54" t="str">
        <f>IFERROR(IF(X36="","",VLOOKUP(X36,配管断面積,2,FALSE)*テーブル1[[#This Row],[列63]]),"")</f>
        <v/>
      </c>
      <c r="Z36" s="54" t="str">
        <f>IF(テーブル1[[#This Row],[列643]]="","",VLOOKUP(テーブル1[[#This Row],[列643]],配管断面積,3,FALSE))</f>
        <v/>
      </c>
      <c r="AA36" s="72" t="str">
        <f t="shared" si="5"/>
        <v/>
      </c>
      <c r="AB36" s="41" t="str">
        <f>IFERROR(IF(U36="","",VLOOKUP(U36,ケーブル断面積,3,FALSE)*テーブル1[[#This Row],[列65]]),"")</f>
        <v/>
      </c>
    </row>
    <row r="37" spans="2:28" ht="14.25" customHeight="1">
      <c r="B37" s="77"/>
      <c r="C37" s="78"/>
      <c r="D37" s="78"/>
      <c r="E37" s="78"/>
      <c r="F37" s="78"/>
      <c r="G37" s="79"/>
      <c r="H37" s="78"/>
      <c r="I37" s="78"/>
      <c r="J37" s="79"/>
      <c r="K37" s="78"/>
      <c r="L37" s="54" t="str">
        <f>IF(OR($C$25="",テーブル1[[#This Row],[列2]]=""),"",$C$24&amp;"_"&amp;$C$25&amp;"_"&amp;テーブル1[[#This Row],[列2]])</f>
        <v/>
      </c>
      <c r="M37" s="54" t="str">
        <f t="shared" si="3"/>
        <v/>
      </c>
      <c r="N37" s="54" t="str">
        <f>IF(OR(テーブル1[[#This Row],[列2]]="",テーブル1[[#This Row],[列2]]&lt;=31.75),"",1)</f>
        <v/>
      </c>
      <c r="O37" s="54" t="str">
        <f>IF(OR($D$25="",テーブル1[[#This Row],[列3]]=""),"",$D$24&amp;"_"&amp;$D$25&amp;"_"&amp;テーブル1[[#This Row],[列3]])</f>
        <v/>
      </c>
      <c r="P37" s="54" t="str">
        <f t="shared" si="0"/>
        <v/>
      </c>
      <c r="Q37" s="54" t="str">
        <f>IF(OR(テーブル1[[#This Row],[列3]]="",テーブル1[[#This Row],[列3]]&lt;=31.75),"",1)</f>
        <v/>
      </c>
      <c r="R37" s="54" t="str">
        <f>IF(OR($E$25="",テーブル1[[#This Row],[列4]]=""),"",$E$24&amp;"_"&amp;$E$25&amp;"_"&amp;テーブル1[[#This Row],[列4]])</f>
        <v/>
      </c>
      <c r="S37" s="54" t="str">
        <f t="shared" si="4"/>
        <v/>
      </c>
      <c r="T37" s="54" t="str">
        <f>IF(OR(テーブル1[[#This Row],[列4]]="",テーブル1[[#This Row],[列4]]&lt;=31.75),"",1)</f>
        <v/>
      </c>
      <c r="U37" s="54" t="str">
        <f>IF(OR(テーブル1[[#This Row],[列6]]="",テーブル1[[#This Row],[列64]]="",テーブル1[[#This Row],[列65]]=""),"",テーブル1[[#This Row],[列6]]&amp;"_"&amp;テーブル1[[#This Row],[列64]])</f>
        <v/>
      </c>
      <c r="V37" s="55" t="str">
        <f t="shared" si="2"/>
        <v/>
      </c>
      <c r="W37" s="54" t="str">
        <f>IFERROR(IF(U37="","",VLOOKUP(U37,ケーブル断面積,2,FALSE)*テーブル1[[#This Row],[列65]]),"")</f>
        <v/>
      </c>
      <c r="X37" s="54" t="str">
        <f>IF(OR(テーブル1[[#This Row],[列7]]="",テーブル1[[#This Row],[列62]]="",テーブル1[[#This Row],[列63]]=""),"",テーブル1[[#This Row],[列7]]&amp;"_"&amp;テーブル1[[#This Row],[列62]])</f>
        <v/>
      </c>
      <c r="Y37" s="54" t="str">
        <f>IFERROR(IF(X37="","",VLOOKUP(X37,配管断面積,2,FALSE)*テーブル1[[#This Row],[列63]]),"")</f>
        <v/>
      </c>
      <c r="Z37" s="54" t="str">
        <f>IF(テーブル1[[#This Row],[列643]]="","",VLOOKUP(テーブル1[[#This Row],[列643]],配管断面積,3,FALSE))</f>
        <v/>
      </c>
      <c r="AA37" s="72" t="str">
        <f t="shared" si="5"/>
        <v/>
      </c>
      <c r="AB37" s="41" t="str">
        <f>IFERROR(IF(U37="","",VLOOKUP(U37,ケーブル断面積,3,FALSE)*テーブル1[[#This Row],[列65]]),"")</f>
        <v/>
      </c>
    </row>
    <row r="38" spans="2:28" ht="14.25" customHeight="1">
      <c r="B38" s="77"/>
      <c r="C38" s="78"/>
      <c r="D38" s="78"/>
      <c r="E38" s="78"/>
      <c r="F38" s="78"/>
      <c r="G38" s="79"/>
      <c r="H38" s="78"/>
      <c r="I38" s="78"/>
      <c r="J38" s="79"/>
      <c r="K38" s="78"/>
      <c r="L38" s="54" t="str">
        <f>IF(OR($C$25="",テーブル1[[#This Row],[列2]]=""),"",$C$24&amp;"_"&amp;$C$25&amp;"_"&amp;テーブル1[[#This Row],[列2]])</f>
        <v/>
      </c>
      <c r="M38" s="54" t="str">
        <f t="shared" si="3"/>
        <v/>
      </c>
      <c r="N38" s="54" t="str">
        <f>IF(OR(テーブル1[[#This Row],[列2]]="",テーブル1[[#This Row],[列2]]&lt;=31.75),"",1)</f>
        <v/>
      </c>
      <c r="O38" s="54" t="str">
        <f>IF(OR($D$25="",テーブル1[[#This Row],[列3]]=""),"",$D$24&amp;"_"&amp;$D$25&amp;"_"&amp;テーブル1[[#This Row],[列3]])</f>
        <v/>
      </c>
      <c r="P38" s="54" t="str">
        <f t="shared" si="0"/>
        <v/>
      </c>
      <c r="Q38" s="54" t="str">
        <f>IF(OR(テーブル1[[#This Row],[列3]]="",テーブル1[[#This Row],[列3]]&lt;=31.75),"",1)</f>
        <v/>
      </c>
      <c r="R38" s="54" t="str">
        <f>IF(OR($E$25="",テーブル1[[#This Row],[列4]]=""),"",$E$24&amp;"_"&amp;$E$25&amp;"_"&amp;テーブル1[[#This Row],[列4]])</f>
        <v/>
      </c>
      <c r="S38" s="54" t="str">
        <f t="shared" si="4"/>
        <v/>
      </c>
      <c r="T38" s="54" t="str">
        <f>IF(OR(テーブル1[[#This Row],[列4]]="",テーブル1[[#This Row],[列4]]&lt;=31.75),"",1)</f>
        <v/>
      </c>
      <c r="U38" s="54" t="str">
        <f>IF(OR(テーブル1[[#This Row],[列6]]="",テーブル1[[#This Row],[列64]]="",テーブル1[[#This Row],[列65]]=""),"",テーブル1[[#This Row],[列6]]&amp;"_"&amp;テーブル1[[#This Row],[列64]])</f>
        <v/>
      </c>
      <c r="V38" s="55" t="str">
        <f t="shared" si="2"/>
        <v/>
      </c>
      <c r="W38" s="54" t="str">
        <f>IFERROR(IF(U38="","",VLOOKUP(U38,ケーブル断面積,2,FALSE)*テーブル1[[#This Row],[列65]]),"")</f>
        <v/>
      </c>
      <c r="X38" s="54" t="str">
        <f>IF(OR(テーブル1[[#This Row],[列7]]="",テーブル1[[#This Row],[列62]]="",テーブル1[[#This Row],[列63]]=""),"",テーブル1[[#This Row],[列7]]&amp;"_"&amp;テーブル1[[#This Row],[列62]])</f>
        <v/>
      </c>
      <c r="Y38" s="54" t="str">
        <f>IFERROR(IF(X38="","",VLOOKUP(X38,配管断面積,2,FALSE)*テーブル1[[#This Row],[列63]]),"")</f>
        <v/>
      </c>
      <c r="Z38" s="54" t="str">
        <f>IF(テーブル1[[#This Row],[列643]]="","",VLOOKUP(テーブル1[[#This Row],[列643]],配管断面積,3,FALSE))</f>
        <v/>
      </c>
      <c r="AA38" s="72" t="str">
        <f t="shared" si="5"/>
        <v/>
      </c>
      <c r="AB38" s="41" t="str">
        <f>IFERROR(IF(U38="","",VLOOKUP(U38,ケーブル断面積,3,FALSE)*テーブル1[[#This Row],[列65]]),"")</f>
        <v/>
      </c>
    </row>
    <row r="39" spans="2:28" ht="14.25" customHeight="1">
      <c r="B39" s="77"/>
      <c r="C39" s="78"/>
      <c r="D39" s="78"/>
      <c r="E39" s="78"/>
      <c r="F39" s="78"/>
      <c r="G39" s="79"/>
      <c r="H39" s="78"/>
      <c r="I39" s="78"/>
      <c r="J39" s="79"/>
      <c r="K39" s="78"/>
      <c r="L39" s="54" t="str">
        <f>IF(OR($C$25="",テーブル1[[#This Row],[列2]]=""),"",$C$24&amp;"_"&amp;$C$25&amp;"_"&amp;テーブル1[[#This Row],[列2]])</f>
        <v/>
      </c>
      <c r="M39" s="54" t="str">
        <f t="shared" si="3"/>
        <v/>
      </c>
      <c r="N39" s="54" t="str">
        <f>IF(OR(テーブル1[[#This Row],[列2]]="",テーブル1[[#This Row],[列2]]&lt;=31.75),"",1)</f>
        <v/>
      </c>
      <c r="O39" s="54" t="str">
        <f>IF(OR($D$25="",テーブル1[[#This Row],[列3]]=""),"",$D$24&amp;"_"&amp;$D$25&amp;"_"&amp;テーブル1[[#This Row],[列3]])</f>
        <v/>
      </c>
      <c r="P39" s="54" t="str">
        <f t="shared" si="0"/>
        <v/>
      </c>
      <c r="Q39" s="54" t="str">
        <f>IF(OR(テーブル1[[#This Row],[列3]]="",テーブル1[[#This Row],[列3]]&lt;=31.75),"",1)</f>
        <v/>
      </c>
      <c r="R39" s="54" t="str">
        <f>IF(OR($E$25="",テーブル1[[#This Row],[列4]]=""),"",$E$24&amp;"_"&amp;$E$25&amp;"_"&amp;テーブル1[[#This Row],[列4]])</f>
        <v/>
      </c>
      <c r="S39" s="54" t="str">
        <f t="shared" si="4"/>
        <v/>
      </c>
      <c r="T39" s="54" t="str">
        <f>IF(OR(テーブル1[[#This Row],[列4]]="",テーブル1[[#This Row],[列4]]&lt;=31.75),"",1)</f>
        <v/>
      </c>
      <c r="U39" s="54" t="str">
        <f>IF(OR(テーブル1[[#This Row],[列6]]="",テーブル1[[#This Row],[列64]]="",テーブル1[[#This Row],[列65]]=""),"",テーブル1[[#This Row],[列6]]&amp;"_"&amp;テーブル1[[#This Row],[列64]])</f>
        <v/>
      </c>
      <c r="V39" s="55" t="str">
        <f t="shared" si="2"/>
        <v/>
      </c>
      <c r="W39" s="54" t="str">
        <f>IFERROR(IF(U39="","",VLOOKUP(U39,ケーブル断面積,2,FALSE)*テーブル1[[#This Row],[列65]]),"")</f>
        <v/>
      </c>
      <c r="X39" s="54" t="str">
        <f>IF(OR(テーブル1[[#This Row],[列7]]="",テーブル1[[#This Row],[列62]]="",テーブル1[[#This Row],[列63]]=""),"",テーブル1[[#This Row],[列7]]&amp;"_"&amp;テーブル1[[#This Row],[列62]])</f>
        <v/>
      </c>
      <c r="Y39" s="54" t="str">
        <f>IFERROR(IF(X39="","",VLOOKUP(X39,配管断面積,2,FALSE)*テーブル1[[#This Row],[列63]]),"")</f>
        <v/>
      </c>
      <c r="Z39" s="54" t="str">
        <f>IF(テーブル1[[#This Row],[列643]]="","",VLOOKUP(テーブル1[[#This Row],[列643]],配管断面積,3,FALSE))</f>
        <v/>
      </c>
      <c r="AA39" s="72" t="str">
        <f t="shared" si="5"/>
        <v/>
      </c>
      <c r="AB39" s="41" t="str">
        <f>IFERROR(IF(U39="","",VLOOKUP(U39,ケーブル断面積,3,FALSE)*テーブル1[[#This Row],[列65]]),"")</f>
        <v/>
      </c>
    </row>
    <row r="40" spans="2:28" ht="14.25" customHeight="1">
      <c r="B40" s="77"/>
      <c r="C40" s="78"/>
      <c r="D40" s="78"/>
      <c r="E40" s="78"/>
      <c r="F40" s="78"/>
      <c r="G40" s="79"/>
      <c r="H40" s="78"/>
      <c r="I40" s="78"/>
      <c r="J40" s="79"/>
      <c r="K40" s="78"/>
      <c r="L40" s="54" t="str">
        <f>IF(OR($C$25="",テーブル1[[#This Row],[列2]]=""),"",$C$24&amp;"_"&amp;$C$25&amp;"_"&amp;テーブル1[[#This Row],[列2]])</f>
        <v/>
      </c>
      <c r="M40" s="54" t="str">
        <f t="shared" si="3"/>
        <v/>
      </c>
      <c r="N40" s="54" t="str">
        <f>IF(OR(テーブル1[[#This Row],[列2]]="",テーブル1[[#This Row],[列2]]&lt;=31.75),"",1)</f>
        <v/>
      </c>
      <c r="O40" s="54" t="str">
        <f>IF(OR($D$25="",テーブル1[[#This Row],[列3]]=""),"",$D$24&amp;"_"&amp;$D$25&amp;"_"&amp;テーブル1[[#This Row],[列3]])</f>
        <v/>
      </c>
      <c r="P40" s="54" t="str">
        <f t="shared" si="0"/>
        <v/>
      </c>
      <c r="Q40" s="54" t="str">
        <f>IF(OR(テーブル1[[#This Row],[列3]]="",テーブル1[[#This Row],[列3]]&lt;=31.75),"",1)</f>
        <v/>
      </c>
      <c r="R40" s="54" t="str">
        <f>IF(OR($E$25="",テーブル1[[#This Row],[列4]]=""),"",$E$24&amp;"_"&amp;$E$25&amp;"_"&amp;テーブル1[[#This Row],[列4]])</f>
        <v/>
      </c>
      <c r="S40" s="54" t="str">
        <f t="shared" si="4"/>
        <v/>
      </c>
      <c r="T40" s="54" t="str">
        <f>IF(OR(テーブル1[[#This Row],[列4]]="",テーブル1[[#This Row],[列4]]&lt;=31.75),"",1)</f>
        <v/>
      </c>
      <c r="U40" s="54" t="str">
        <f>IF(OR(テーブル1[[#This Row],[列6]]="",テーブル1[[#This Row],[列64]]="",テーブル1[[#This Row],[列65]]=""),"",テーブル1[[#This Row],[列6]]&amp;"_"&amp;テーブル1[[#This Row],[列64]])</f>
        <v/>
      </c>
      <c r="V40" s="55" t="str">
        <f t="shared" si="2"/>
        <v/>
      </c>
      <c r="W40" s="54" t="str">
        <f>IFERROR(IF(U40="","",VLOOKUP(U40,ケーブル断面積,2,FALSE)*テーブル1[[#This Row],[列65]]),"")</f>
        <v/>
      </c>
      <c r="X40" s="54" t="str">
        <f>IF(OR(テーブル1[[#This Row],[列7]]="",テーブル1[[#This Row],[列62]]="",テーブル1[[#This Row],[列63]]=""),"",テーブル1[[#This Row],[列7]]&amp;"_"&amp;テーブル1[[#This Row],[列62]])</f>
        <v/>
      </c>
      <c r="Y40" s="54" t="str">
        <f>IFERROR(IF(X40="","",VLOOKUP(X40,配管断面積,2,FALSE)*テーブル1[[#This Row],[列63]]),"")</f>
        <v/>
      </c>
      <c r="Z40" s="54" t="str">
        <f>IF(テーブル1[[#This Row],[列643]]="","",VLOOKUP(テーブル1[[#This Row],[列643]],配管断面積,3,FALSE))</f>
        <v/>
      </c>
      <c r="AA40" s="72" t="str">
        <f t="shared" si="5"/>
        <v/>
      </c>
      <c r="AB40" s="41" t="str">
        <f>IFERROR(IF(U40="","",VLOOKUP(U40,ケーブル断面積,3,FALSE)*テーブル1[[#This Row],[列65]]),"")</f>
        <v/>
      </c>
    </row>
    <row r="41" spans="2:28" ht="14.25" customHeight="1">
      <c r="B41" s="77"/>
      <c r="C41" s="78"/>
      <c r="D41" s="78"/>
      <c r="E41" s="78"/>
      <c r="F41" s="78"/>
      <c r="G41" s="79"/>
      <c r="H41" s="78"/>
      <c r="I41" s="78"/>
      <c r="J41" s="79"/>
      <c r="K41" s="78"/>
      <c r="L41" s="54" t="str">
        <f>IF(OR($C$25="",テーブル1[[#This Row],[列2]]=""),"",$C$24&amp;"_"&amp;$C$25&amp;"_"&amp;テーブル1[[#This Row],[列2]])</f>
        <v/>
      </c>
      <c r="M41" s="54" t="str">
        <f t="shared" si="3"/>
        <v/>
      </c>
      <c r="N41" s="54" t="str">
        <f>IF(OR(テーブル1[[#This Row],[列2]]="",テーブル1[[#This Row],[列2]]&lt;=31.75),"",1)</f>
        <v/>
      </c>
      <c r="O41" s="54" t="str">
        <f>IF(OR($D$25="",テーブル1[[#This Row],[列3]]=""),"",$D$24&amp;"_"&amp;$D$25&amp;"_"&amp;テーブル1[[#This Row],[列3]])</f>
        <v/>
      </c>
      <c r="P41" s="54" t="str">
        <f t="shared" si="0"/>
        <v/>
      </c>
      <c r="Q41" s="54" t="str">
        <f>IF(OR(テーブル1[[#This Row],[列3]]="",テーブル1[[#This Row],[列3]]&lt;=31.75),"",1)</f>
        <v/>
      </c>
      <c r="R41" s="54" t="str">
        <f>IF(OR($E$25="",テーブル1[[#This Row],[列4]]=""),"",$E$24&amp;"_"&amp;$E$25&amp;"_"&amp;テーブル1[[#This Row],[列4]])</f>
        <v/>
      </c>
      <c r="S41" s="54" t="str">
        <f t="shared" si="4"/>
        <v/>
      </c>
      <c r="T41" s="54" t="str">
        <f>IF(OR(テーブル1[[#This Row],[列4]]="",テーブル1[[#This Row],[列4]]&lt;=31.75),"",1)</f>
        <v/>
      </c>
      <c r="U41" s="54" t="str">
        <f>IF(OR(テーブル1[[#This Row],[列6]]="",テーブル1[[#This Row],[列64]]="",テーブル1[[#This Row],[列65]]=""),"",テーブル1[[#This Row],[列6]]&amp;"_"&amp;テーブル1[[#This Row],[列64]])</f>
        <v/>
      </c>
      <c r="V41" s="55" t="str">
        <f t="shared" si="2"/>
        <v/>
      </c>
      <c r="W41" s="54" t="str">
        <f>IFERROR(IF(U41="","",VLOOKUP(U41,ケーブル断面積,2,FALSE)*テーブル1[[#This Row],[列65]]),"")</f>
        <v/>
      </c>
      <c r="X41" s="54" t="str">
        <f>IF(OR(テーブル1[[#This Row],[列7]]="",テーブル1[[#This Row],[列62]]="",テーブル1[[#This Row],[列63]]=""),"",テーブル1[[#This Row],[列7]]&amp;"_"&amp;テーブル1[[#This Row],[列62]])</f>
        <v/>
      </c>
      <c r="Y41" s="54" t="str">
        <f>IFERROR(IF(X41="","",VLOOKUP(X41,配管断面積,2,FALSE)*テーブル1[[#This Row],[列63]]),"")</f>
        <v/>
      </c>
      <c r="Z41" s="54" t="str">
        <f>IF(テーブル1[[#This Row],[列643]]="","",VLOOKUP(テーブル1[[#This Row],[列643]],配管断面積,3,FALSE))</f>
        <v/>
      </c>
      <c r="AA41" s="72" t="str">
        <f t="shared" si="5"/>
        <v/>
      </c>
      <c r="AB41" s="41" t="str">
        <f>IFERROR(IF(U41="","",VLOOKUP(U41,ケーブル断面積,3,FALSE)*テーブル1[[#This Row],[列65]]),"")</f>
        <v/>
      </c>
    </row>
    <row r="42" spans="2:28" ht="14.25" customHeight="1">
      <c r="B42" s="77"/>
      <c r="C42" s="78"/>
      <c r="D42" s="78"/>
      <c r="E42" s="78"/>
      <c r="F42" s="78"/>
      <c r="G42" s="79"/>
      <c r="H42" s="78"/>
      <c r="I42" s="78"/>
      <c r="J42" s="79"/>
      <c r="K42" s="78"/>
      <c r="L42" s="54" t="str">
        <f>IF(OR($C$25="",テーブル1[[#This Row],[列2]]=""),"",$C$24&amp;"_"&amp;$C$25&amp;"_"&amp;テーブル1[[#This Row],[列2]])</f>
        <v/>
      </c>
      <c r="M42" s="54" t="str">
        <f t="shared" si="3"/>
        <v/>
      </c>
      <c r="N42" s="54" t="str">
        <f>IF(OR(テーブル1[[#This Row],[列2]]="",テーブル1[[#This Row],[列2]]&lt;=31.75),"",1)</f>
        <v/>
      </c>
      <c r="O42" s="54" t="str">
        <f>IF(OR($D$25="",テーブル1[[#This Row],[列3]]=""),"",$D$24&amp;"_"&amp;$D$25&amp;"_"&amp;テーブル1[[#This Row],[列3]])</f>
        <v/>
      </c>
      <c r="P42" s="54" t="str">
        <f t="shared" si="0"/>
        <v/>
      </c>
      <c r="Q42" s="54" t="str">
        <f>IF(OR(テーブル1[[#This Row],[列3]]="",テーブル1[[#This Row],[列3]]&lt;=31.75),"",1)</f>
        <v/>
      </c>
      <c r="R42" s="54" t="str">
        <f>IF(OR($E$25="",テーブル1[[#This Row],[列4]]=""),"",$E$24&amp;"_"&amp;$E$25&amp;"_"&amp;テーブル1[[#This Row],[列4]])</f>
        <v/>
      </c>
      <c r="S42" s="54" t="str">
        <f t="shared" si="4"/>
        <v/>
      </c>
      <c r="T42" s="54" t="str">
        <f>IF(OR(テーブル1[[#This Row],[列4]]="",テーブル1[[#This Row],[列4]]&lt;=31.75),"",1)</f>
        <v/>
      </c>
      <c r="U42" s="54" t="str">
        <f>IF(OR(テーブル1[[#This Row],[列6]]="",テーブル1[[#This Row],[列64]]="",テーブル1[[#This Row],[列65]]=""),"",テーブル1[[#This Row],[列6]]&amp;"_"&amp;テーブル1[[#This Row],[列64]])</f>
        <v/>
      </c>
      <c r="V42" s="55" t="str">
        <f t="shared" si="2"/>
        <v/>
      </c>
      <c r="W42" s="54" t="str">
        <f>IFERROR(IF(U42="","",VLOOKUP(U42,ケーブル断面積,2,FALSE)*テーブル1[[#This Row],[列65]]),"")</f>
        <v/>
      </c>
      <c r="X42" s="54" t="str">
        <f>IF(OR(テーブル1[[#This Row],[列7]]="",テーブル1[[#This Row],[列62]]="",テーブル1[[#This Row],[列63]]=""),"",テーブル1[[#This Row],[列7]]&amp;"_"&amp;テーブル1[[#This Row],[列62]])</f>
        <v/>
      </c>
      <c r="Y42" s="54" t="str">
        <f>IFERROR(IF(X42="","",VLOOKUP(X42,配管断面積,2,FALSE)*テーブル1[[#This Row],[列63]]),"")</f>
        <v/>
      </c>
      <c r="Z42" s="54" t="str">
        <f>IF(テーブル1[[#This Row],[列643]]="","",VLOOKUP(テーブル1[[#This Row],[列643]],配管断面積,3,FALSE))</f>
        <v/>
      </c>
      <c r="AA42" s="72" t="str">
        <f t="shared" si="5"/>
        <v/>
      </c>
      <c r="AB42" s="41" t="str">
        <f>IFERROR(IF(U42="","",VLOOKUP(U42,ケーブル断面積,3,FALSE)*テーブル1[[#This Row],[列65]]),"")</f>
        <v/>
      </c>
    </row>
    <row r="43" spans="2:28" ht="14.25" customHeight="1">
      <c r="B43" s="77"/>
      <c r="C43" s="78"/>
      <c r="D43" s="78"/>
      <c r="E43" s="78"/>
      <c r="F43" s="78"/>
      <c r="G43" s="79"/>
      <c r="H43" s="78"/>
      <c r="I43" s="78"/>
      <c r="J43" s="79"/>
      <c r="K43" s="78"/>
      <c r="L43" s="54" t="str">
        <f>IF(OR($C$25="",テーブル1[[#This Row],[列2]]=""),"",$C$24&amp;"_"&amp;$C$25&amp;"_"&amp;テーブル1[[#This Row],[列2]])</f>
        <v/>
      </c>
      <c r="M43" s="54" t="str">
        <f t="shared" si="3"/>
        <v/>
      </c>
      <c r="N43" s="54" t="str">
        <f>IF(OR(テーブル1[[#This Row],[列2]]="",テーブル1[[#This Row],[列2]]&lt;=31.75),"",1)</f>
        <v/>
      </c>
      <c r="O43" s="54" t="str">
        <f>IF(OR($D$25="",テーブル1[[#This Row],[列3]]=""),"",$D$24&amp;"_"&amp;$D$25&amp;"_"&amp;テーブル1[[#This Row],[列3]])</f>
        <v/>
      </c>
      <c r="P43" s="54" t="str">
        <f t="shared" si="0"/>
        <v/>
      </c>
      <c r="Q43" s="54" t="str">
        <f>IF(OR(テーブル1[[#This Row],[列3]]="",テーブル1[[#This Row],[列3]]&lt;=31.75),"",1)</f>
        <v/>
      </c>
      <c r="R43" s="54" t="str">
        <f>IF(OR($E$25="",テーブル1[[#This Row],[列4]]=""),"",$E$24&amp;"_"&amp;$E$25&amp;"_"&amp;テーブル1[[#This Row],[列4]])</f>
        <v/>
      </c>
      <c r="S43" s="54" t="str">
        <f t="shared" si="4"/>
        <v/>
      </c>
      <c r="T43" s="54" t="str">
        <f>IF(OR(テーブル1[[#This Row],[列4]]="",テーブル1[[#This Row],[列4]]&lt;=31.75),"",1)</f>
        <v/>
      </c>
      <c r="U43" s="54" t="str">
        <f>IF(OR(テーブル1[[#This Row],[列6]]="",テーブル1[[#This Row],[列64]]="",テーブル1[[#This Row],[列65]]=""),"",テーブル1[[#This Row],[列6]]&amp;"_"&amp;テーブル1[[#This Row],[列64]])</f>
        <v/>
      </c>
      <c r="V43" s="55" t="str">
        <f t="shared" si="2"/>
        <v/>
      </c>
      <c r="W43" s="54" t="str">
        <f>IFERROR(IF(U43="","",VLOOKUP(U43,ケーブル断面積,2,FALSE)*テーブル1[[#This Row],[列65]]),"")</f>
        <v/>
      </c>
      <c r="X43" s="54" t="str">
        <f>IF(OR(テーブル1[[#This Row],[列7]]="",テーブル1[[#This Row],[列62]]="",テーブル1[[#This Row],[列63]]=""),"",テーブル1[[#This Row],[列7]]&amp;"_"&amp;テーブル1[[#This Row],[列62]])</f>
        <v/>
      </c>
      <c r="Y43" s="54" t="str">
        <f>IFERROR(IF(X43="","",VLOOKUP(X43,配管断面積,2,FALSE)*テーブル1[[#This Row],[列63]]),"")</f>
        <v/>
      </c>
      <c r="Z43" s="54" t="str">
        <f>IF(テーブル1[[#This Row],[列643]]="","",VLOOKUP(テーブル1[[#This Row],[列643]],配管断面積,3,FALSE))</f>
        <v/>
      </c>
      <c r="AA43" s="72" t="str">
        <f t="shared" si="5"/>
        <v/>
      </c>
      <c r="AB43" s="41" t="str">
        <f>IFERROR(IF(U43="","",VLOOKUP(U43,ケーブル断面積,3,FALSE)*テーブル1[[#This Row],[列65]]),"")</f>
        <v/>
      </c>
    </row>
    <row r="44" spans="2:28" ht="14.25" customHeight="1">
      <c r="B44" s="77"/>
      <c r="C44" s="78"/>
      <c r="D44" s="78"/>
      <c r="E44" s="78"/>
      <c r="F44" s="78"/>
      <c r="G44" s="79"/>
      <c r="H44" s="78"/>
      <c r="I44" s="78"/>
      <c r="J44" s="79"/>
      <c r="K44" s="78"/>
      <c r="L44" s="54" t="str">
        <f>IF(OR($C$25="",テーブル1[[#This Row],[列2]]=""),"",$C$24&amp;"_"&amp;$C$25&amp;"_"&amp;テーブル1[[#This Row],[列2]])</f>
        <v/>
      </c>
      <c r="M44" s="54" t="str">
        <f t="shared" si="3"/>
        <v/>
      </c>
      <c r="N44" s="54" t="str">
        <f>IF(OR(テーブル1[[#This Row],[列2]]="",テーブル1[[#This Row],[列2]]&lt;=31.75),"",1)</f>
        <v/>
      </c>
      <c r="O44" s="54" t="str">
        <f>IF(OR($D$25="",テーブル1[[#This Row],[列3]]=""),"",$D$24&amp;"_"&amp;$D$25&amp;"_"&amp;テーブル1[[#This Row],[列3]])</f>
        <v/>
      </c>
      <c r="P44" s="54" t="str">
        <f t="shared" si="0"/>
        <v/>
      </c>
      <c r="Q44" s="54" t="str">
        <f>IF(OR(テーブル1[[#This Row],[列3]]="",テーブル1[[#This Row],[列3]]&lt;=31.75),"",1)</f>
        <v/>
      </c>
      <c r="R44" s="54" t="str">
        <f>IF(OR($E$25="",テーブル1[[#This Row],[列4]]=""),"",$E$24&amp;"_"&amp;$E$25&amp;"_"&amp;テーブル1[[#This Row],[列4]])</f>
        <v/>
      </c>
      <c r="S44" s="54" t="str">
        <f t="shared" si="4"/>
        <v/>
      </c>
      <c r="T44" s="54" t="str">
        <f>IF(OR(テーブル1[[#This Row],[列4]]="",テーブル1[[#This Row],[列4]]&lt;=31.75),"",1)</f>
        <v/>
      </c>
      <c r="U44" s="54" t="str">
        <f>IF(OR(テーブル1[[#This Row],[列6]]="",テーブル1[[#This Row],[列64]]="",テーブル1[[#This Row],[列65]]=""),"",テーブル1[[#This Row],[列6]]&amp;"_"&amp;テーブル1[[#This Row],[列64]])</f>
        <v/>
      </c>
      <c r="V44" s="55" t="str">
        <f t="shared" si="2"/>
        <v/>
      </c>
      <c r="W44" s="54" t="str">
        <f>IFERROR(IF(U44="","",VLOOKUP(U44,ケーブル断面積,2,FALSE)*テーブル1[[#This Row],[列65]]),"")</f>
        <v/>
      </c>
      <c r="X44" s="54" t="str">
        <f>IF(OR(テーブル1[[#This Row],[列7]]="",テーブル1[[#This Row],[列62]]="",テーブル1[[#This Row],[列63]]=""),"",テーブル1[[#This Row],[列7]]&amp;"_"&amp;テーブル1[[#This Row],[列62]])</f>
        <v/>
      </c>
      <c r="Y44" s="54" t="str">
        <f>IFERROR(IF(X44="","",VLOOKUP(X44,配管断面積,2,FALSE)*テーブル1[[#This Row],[列63]]),"")</f>
        <v/>
      </c>
      <c r="Z44" s="54" t="str">
        <f>IF(テーブル1[[#This Row],[列643]]="","",VLOOKUP(テーブル1[[#This Row],[列643]],配管断面積,3,FALSE))</f>
        <v/>
      </c>
      <c r="AA44" s="72" t="str">
        <f t="shared" si="5"/>
        <v/>
      </c>
      <c r="AB44" s="41" t="str">
        <f>IFERROR(IF(U44="","",VLOOKUP(U44,ケーブル断面積,3,FALSE)*テーブル1[[#This Row],[列65]]),"")</f>
        <v/>
      </c>
    </row>
    <row r="45" spans="2:28" ht="14.25" customHeight="1">
      <c r="B45" s="77"/>
      <c r="C45" s="78"/>
      <c r="D45" s="78"/>
      <c r="E45" s="78"/>
      <c r="F45" s="78"/>
      <c r="G45" s="79"/>
      <c r="H45" s="78"/>
      <c r="I45" s="78"/>
      <c r="J45" s="79"/>
      <c r="K45" s="78"/>
      <c r="L45" s="54" t="str">
        <f>IF(OR($C$25="",テーブル1[[#This Row],[列2]]=""),"",$C$24&amp;"_"&amp;$C$25&amp;"_"&amp;テーブル1[[#This Row],[列2]])</f>
        <v/>
      </c>
      <c r="M45" s="54" t="str">
        <f t="shared" si="3"/>
        <v/>
      </c>
      <c r="N45" s="54" t="str">
        <f>IF(OR(テーブル1[[#This Row],[列2]]="",テーブル1[[#This Row],[列2]]&lt;=31.75),"",1)</f>
        <v/>
      </c>
      <c r="O45" s="54" t="str">
        <f>IF(OR($D$25="",テーブル1[[#This Row],[列3]]=""),"",$D$24&amp;"_"&amp;$D$25&amp;"_"&amp;テーブル1[[#This Row],[列3]])</f>
        <v/>
      </c>
      <c r="P45" s="54" t="str">
        <f t="shared" si="0"/>
        <v/>
      </c>
      <c r="Q45" s="54" t="str">
        <f>IF(OR(テーブル1[[#This Row],[列3]]="",テーブル1[[#This Row],[列3]]&lt;=31.75),"",1)</f>
        <v/>
      </c>
      <c r="R45" s="54" t="str">
        <f>IF(OR($E$25="",テーブル1[[#This Row],[列4]]=""),"",$E$24&amp;"_"&amp;$E$25&amp;"_"&amp;テーブル1[[#This Row],[列4]])</f>
        <v/>
      </c>
      <c r="S45" s="54" t="str">
        <f t="shared" si="4"/>
        <v/>
      </c>
      <c r="T45" s="54" t="str">
        <f>IF(OR(テーブル1[[#This Row],[列4]]="",テーブル1[[#This Row],[列4]]&lt;=31.75),"",1)</f>
        <v/>
      </c>
      <c r="U45" s="54" t="str">
        <f>IF(OR(テーブル1[[#This Row],[列6]]="",テーブル1[[#This Row],[列64]]="",テーブル1[[#This Row],[列65]]=""),"",テーブル1[[#This Row],[列6]]&amp;"_"&amp;テーブル1[[#This Row],[列64]])</f>
        <v/>
      </c>
      <c r="V45" s="55" t="str">
        <f t="shared" si="2"/>
        <v/>
      </c>
      <c r="W45" s="54" t="str">
        <f>IFERROR(IF(U45="","",VLOOKUP(U45,ケーブル断面積,2,FALSE)*テーブル1[[#This Row],[列65]]),"")</f>
        <v/>
      </c>
      <c r="X45" s="54" t="str">
        <f>IF(OR(テーブル1[[#This Row],[列7]]="",テーブル1[[#This Row],[列62]]="",テーブル1[[#This Row],[列63]]=""),"",テーブル1[[#This Row],[列7]]&amp;"_"&amp;テーブル1[[#This Row],[列62]])</f>
        <v/>
      </c>
      <c r="Y45" s="54" t="str">
        <f>IFERROR(IF(X45="","",VLOOKUP(X45,配管断面積,2,FALSE)*テーブル1[[#This Row],[列63]]),"")</f>
        <v/>
      </c>
      <c r="Z45" s="54" t="str">
        <f>IF(テーブル1[[#This Row],[列643]]="","",VLOOKUP(テーブル1[[#This Row],[列643]],配管断面積,3,FALSE))</f>
        <v/>
      </c>
      <c r="AA45" s="72" t="str">
        <f t="shared" si="5"/>
        <v/>
      </c>
      <c r="AB45" s="41" t="str">
        <f>IFERROR(IF(U45="","",VLOOKUP(U45,ケーブル断面積,3,FALSE)*テーブル1[[#This Row],[列65]]),"")</f>
        <v/>
      </c>
    </row>
    <row r="46" spans="2:28" ht="14.25" customHeight="1">
      <c r="B46" s="77"/>
      <c r="C46" s="78"/>
      <c r="D46" s="78"/>
      <c r="E46" s="78"/>
      <c r="F46" s="78"/>
      <c r="G46" s="79"/>
      <c r="H46" s="78"/>
      <c r="I46" s="78"/>
      <c r="J46" s="79"/>
      <c r="K46" s="78"/>
      <c r="L46" s="54" t="str">
        <f>IF(OR($C$25="",テーブル1[[#This Row],[列2]]=""),"",$C$24&amp;"_"&amp;$C$25&amp;"_"&amp;テーブル1[[#This Row],[列2]])</f>
        <v/>
      </c>
      <c r="M46" s="54" t="str">
        <f t="shared" si="3"/>
        <v/>
      </c>
      <c r="N46" s="54" t="str">
        <f>IF(OR(テーブル1[[#This Row],[列2]]="",テーブル1[[#This Row],[列2]]&lt;=31.75),"",1)</f>
        <v/>
      </c>
      <c r="O46" s="54" t="str">
        <f>IF(OR($D$25="",テーブル1[[#This Row],[列3]]=""),"",$D$24&amp;"_"&amp;$D$25&amp;"_"&amp;テーブル1[[#This Row],[列3]])</f>
        <v/>
      </c>
      <c r="P46" s="54" t="str">
        <f t="shared" si="0"/>
        <v/>
      </c>
      <c r="Q46" s="54" t="str">
        <f>IF(OR(テーブル1[[#This Row],[列3]]="",テーブル1[[#This Row],[列3]]&lt;=31.75),"",1)</f>
        <v/>
      </c>
      <c r="R46" s="54" t="str">
        <f>IF(OR($E$25="",テーブル1[[#This Row],[列4]]=""),"",$E$24&amp;"_"&amp;$E$25&amp;"_"&amp;テーブル1[[#This Row],[列4]])</f>
        <v/>
      </c>
      <c r="S46" s="54" t="str">
        <f t="shared" si="4"/>
        <v/>
      </c>
      <c r="T46" s="54" t="str">
        <f>IF(OR(テーブル1[[#This Row],[列4]]="",テーブル1[[#This Row],[列4]]&lt;=31.75),"",1)</f>
        <v/>
      </c>
      <c r="U46" s="54" t="str">
        <f>IF(OR(テーブル1[[#This Row],[列6]]="",テーブル1[[#This Row],[列64]]="",テーブル1[[#This Row],[列65]]=""),"",テーブル1[[#This Row],[列6]]&amp;"_"&amp;テーブル1[[#This Row],[列64]])</f>
        <v/>
      </c>
      <c r="V46" s="55" t="str">
        <f t="shared" si="2"/>
        <v/>
      </c>
      <c r="W46" s="54" t="str">
        <f>IFERROR(IF(U46="","",VLOOKUP(U46,ケーブル断面積,2,FALSE)*テーブル1[[#This Row],[列65]]),"")</f>
        <v/>
      </c>
      <c r="X46" s="54" t="str">
        <f>IF(OR(テーブル1[[#This Row],[列7]]="",テーブル1[[#This Row],[列62]]="",テーブル1[[#This Row],[列63]]=""),"",テーブル1[[#This Row],[列7]]&amp;"_"&amp;テーブル1[[#This Row],[列62]])</f>
        <v/>
      </c>
      <c r="Y46" s="54" t="str">
        <f>IFERROR(IF(X46="","",VLOOKUP(X46,配管断面積,2,FALSE)*テーブル1[[#This Row],[列63]]),"")</f>
        <v/>
      </c>
      <c r="Z46" s="54" t="str">
        <f>IF(テーブル1[[#This Row],[列643]]="","",VLOOKUP(テーブル1[[#This Row],[列643]],配管断面積,3,FALSE))</f>
        <v/>
      </c>
      <c r="AA46" s="72" t="str">
        <f t="shared" si="5"/>
        <v/>
      </c>
      <c r="AB46" s="41" t="str">
        <f>IFERROR(IF(U46="","",VLOOKUP(U46,ケーブル断面積,3,FALSE)*テーブル1[[#This Row],[列65]]),"")</f>
        <v/>
      </c>
    </row>
  </sheetData>
  <sheetProtection algorithmName="SHA-512" hashValue="quqRL2lN2aZtpD1VjTdN3bYzGph2PMf45CMFg793aZKvqPYnCqKR2l0b169FrgDGzVxLKRfUZ9nF4VusXgsgcQ==" saltValue="kppKEJ3bMqsv+GUJySNOEw==" spinCount="100000" sheet="1" insertRows="0" deleteRows="0" autoFilter="0"/>
  <mergeCells count="15">
    <mergeCell ref="U21:W21"/>
    <mergeCell ref="O15:P15"/>
    <mergeCell ref="A1:G1"/>
    <mergeCell ref="B24:B25"/>
    <mergeCell ref="F23:H24"/>
    <mergeCell ref="I23:K24"/>
    <mergeCell ref="E16:K21"/>
    <mergeCell ref="C23:E23"/>
    <mergeCell ref="C4:D4"/>
    <mergeCell ref="G4:H4"/>
    <mergeCell ref="W15:X15"/>
    <mergeCell ref="W16:X16"/>
    <mergeCell ref="S14:U14"/>
    <mergeCell ref="S15:U15"/>
    <mergeCell ref="W14:X14"/>
  </mergeCells>
  <phoneticPr fontId="2"/>
  <conditionalFormatting sqref="B13:C14">
    <cfRule type="expression" dxfId="10" priority="16">
      <formula>$B$12="■ケーブル認定導体面積"</formula>
    </cfRule>
  </conditionalFormatting>
  <conditionalFormatting sqref="E16:F21 G17:K21">
    <cfRule type="expression" dxfId="9" priority="13">
      <formula>E15="配管図"</formula>
    </cfRule>
  </conditionalFormatting>
  <conditionalFormatting sqref="F8:G8">
    <cfRule type="expression" dxfId="8" priority="9">
      <formula>LEFT(C4,1)="床"</formula>
    </cfRule>
  </conditionalFormatting>
  <conditionalFormatting sqref="F14:G14">
    <cfRule type="expression" dxfId="7" priority="3">
      <formula>F14="ケーブル導体面積"</formula>
    </cfRule>
  </conditionalFormatting>
  <conditionalFormatting sqref="G8">
    <cfRule type="expression" dxfId="6" priority="8">
      <formula>LEFT(C4,1)="床"</formula>
    </cfRule>
  </conditionalFormatting>
  <conditionalFormatting sqref="G14">
    <cfRule type="expression" dxfId="5" priority="2">
      <formula>F14="ケーブル導体面積"</formula>
    </cfRule>
  </conditionalFormatting>
  <conditionalFormatting sqref="G16:K16">
    <cfRule type="expression" dxfId="4" priority="18">
      <formula>#REF!="配管図"</formula>
    </cfRule>
  </conditionalFormatting>
  <conditionalFormatting sqref="I9:K9">
    <cfRule type="expression" dxfId="3" priority="19">
      <formula>$I$9="L金具"</formula>
    </cfRule>
  </conditionalFormatting>
  <conditionalFormatting sqref="I10:K10">
    <cfRule type="expression" dxfId="2" priority="4">
      <formula>SUM($Z$22)&gt;0</formula>
    </cfRule>
  </conditionalFormatting>
  <conditionalFormatting sqref="I12:K13">
    <cfRule type="expression" dxfId="1" priority="11">
      <formula>LEFT($C$4,1)="床"</formula>
    </cfRule>
  </conditionalFormatting>
  <conditionalFormatting sqref="C16">
    <cfRule type="expression" dxfId="0" priority="1">
      <formula>$B$22="開口面積、占積率、認定ケーブル導体面積をご確認ください。"</formula>
    </cfRule>
  </conditionalFormatting>
  <dataValidations count="7">
    <dataValidation imeMode="off" allowBlank="1" showInputMessage="1" showErrorMessage="1" sqref="C22:C23 B24:B46" xr:uid="{2D4CDC6F-8770-4D32-B202-4C174A9F26F7}"/>
    <dataValidation type="list" allowBlank="1" showInputMessage="1" showErrorMessage="1" sqref="J27:J46 G27:G46" xr:uid="{04EF9E60-86C2-4227-911A-8E70B649C0DD}">
      <formula1>INDIRECT(F27)</formula1>
    </dataValidation>
    <dataValidation type="list" allowBlank="1" showInputMessage="1" showErrorMessage="1" sqref="T6" xr:uid="{95BE1776-C69C-4C4C-8A2F-3AAC64BD20B5}">
      <formula1>#REF!</formula1>
    </dataValidation>
    <dataValidation type="custom" allowBlank="1" showInputMessage="1" showErrorMessage="1" errorTitle="認定外サイズ" error="認定外サイズとなります" sqref="Y22" xr:uid="{E1E9F266-6D72-4F49-BA22-17F726FB3EA5}">
      <formula1>Y22="X"</formula1>
    </dataValidation>
    <dataValidation type="custom" imeMode="off" allowBlank="1" showInputMessage="1" showErrorMessage="1" errorTitle="認定外サイズです" error="認定外のサイズとなりますので、サイズをご確認ください。" sqref="K27:K46" xr:uid="{49CBB677-08BF-46C2-94D3-FCE4FDAF7C1A}">
      <formula1>$Y$23=""</formula1>
    </dataValidation>
    <dataValidation type="custom" imeMode="off" allowBlank="1" showInputMessage="1" showErrorMessage="1" errorTitle="認定外サイズです" error="認定外のサイズとなりますので、サイズをご確認ください。" sqref="H27:H46" xr:uid="{96964398-B4DD-4F2C-99BD-4F9A2B2BE443}">
      <formula1>$W$24="〇"</formula1>
    </dataValidation>
    <dataValidation type="custom" allowBlank="1" showInputMessage="1" showErrorMessage="1" errorTitle="開口面積が認定外です" error="開口面積を小さくしてください。" sqref="G11" xr:uid="{4EF3EFCA-78D3-4A79-A9B1-27EF921389C7}">
      <formula1>C11&lt;G11</formula1>
    </dataValidation>
  </dataValidations>
  <pageMargins left="0.59055118110236227" right="0.19685039370078741" top="0.59055118110236227" bottom="0.39370078740157483" header="0.31496062992125984" footer="0.31496062992125984"/>
  <pageSetup paperSize="9" orientation="portrait" r:id="rId1"/>
  <headerFooter>
    <oddFooter>&amp;C&amp;G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984BF72-8B97-4218-88FA-6BA59B72D650}">
          <x14:formula1>
            <xm:f>認定!$A$3:$A$11</xm:f>
          </x14:formula1>
          <xm:sqref>C4:D4</xm:sqref>
        </x14:dataValidation>
        <x14:dataValidation type="list" allowBlank="1" showInputMessage="1" showErrorMessage="1" xr:uid="{B9A00BA6-696B-48DA-9DB3-2DC3E88CE871}">
          <x14:formula1>
            <xm:f>認定配管!$A$10:$A$66</xm:f>
          </x14:formula1>
          <xm:sqref>I27:I46</xm:sqref>
        </x14:dataValidation>
        <x14:dataValidation type="list" allowBlank="1" showInputMessage="1" showErrorMessage="1" xr:uid="{2A9EB2FD-4DD0-4D5A-A14B-16AF290F7406}">
          <x14:formula1>
            <xm:f>認定配管!$C$28:$C$30</xm:f>
          </x14:formula1>
          <xm:sqref>C25:E25</xm:sqref>
        </x14:dataValidation>
        <x14:dataValidation type="list" allowBlank="1" showInputMessage="1" showErrorMessage="1" xr:uid="{91B4FF37-D99C-4E5E-81A7-6520E5BFA405}">
          <x14:formula1>
            <xm:f>認定配管!$D$28:$D$29</xm:f>
          </x14:formula1>
          <xm:sqref>C24</xm:sqref>
        </x14:dataValidation>
        <x14:dataValidation type="list" allowBlank="1" showInputMessage="1" showErrorMessage="1" xr:uid="{5CB75ECB-1908-4A6A-9520-CEEAE299C474}">
          <x14:formula1>
            <xm:f>認定!$A$16:$A$17</xm:f>
          </x14:formula1>
          <xm:sqref>G8</xm:sqref>
        </x14:dataValidation>
        <x14:dataValidation type="list" allowBlank="1" showInputMessage="1" showErrorMessage="1" xr:uid="{69D89F6C-7AD8-41BE-A6D8-B6DA30116432}">
          <x14:formula1>
            <xm:f>認定配管!$A$67:$A$82</xm:f>
          </x14:formula1>
          <xm:sqref>F27:F46</xm:sqref>
        </x14:dataValidation>
        <x14:dataValidation type="custom" imeMode="off" allowBlank="1" showInputMessage="1" showErrorMessage="1" xr:uid="{6EE5D64C-15FF-4318-B330-FA7A5AB72979}">
          <x14:formula1>
            <xm:f>VLOOKUP(C4,認定!A3:K11,4,FALSE)&lt;=G9</xm:f>
          </x14:formula1>
          <xm:sqref>G9</xm:sqref>
        </x14:dataValidation>
        <x14:dataValidation type="custom" imeMode="off" allowBlank="1" showInputMessage="1" showErrorMessage="1" errorTitle="開口寸法を確認してください" error="開口寸法が認定外となります。" xr:uid="{617227CB-8DE2-4377-85E9-0873C2C3449B}">
          <x14:formula1>
            <xm:f>VLOOKUP(C4,認定!A3:K11,5,FALSE)&gt;=G6</xm:f>
          </x14:formula1>
          <xm:sqref>G6</xm:sqref>
        </x14:dataValidation>
        <x14:dataValidation type="custom" imeMode="off" allowBlank="1" showInputMessage="1" showErrorMessage="1" errorTitle="開口寸法を確認してください" error="開口寸法が認定外となります。" xr:uid="{AE045042-1A44-4D32-A16A-FD7F8C1996F9}">
          <x14:formula1>
            <xm:f>VLOOKUP(C4,認定!A3:K11,6,FALSE)&gt;=G7</xm:f>
          </x14:formula1>
          <xm:sqref>G7</xm:sqref>
        </x14:dataValidation>
        <x14:dataValidation type="list" allowBlank="1" showInputMessage="1" showErrorMessage="1" xr:uid="{6619D1AB-5FEA-4908-AAC2-3B5A70738F2E}">
          <x14:formula1>
            <xm:f>IF($C$25="8㎜保温",認定配管!$B$4:$B$6,INDIRECT($C$4))</xm:f>
          </x14:formula1>
          <xm:sqref>C27:C46</xm:sqref>
        </x14:dataValidation>
        <x14:dataValidation type="list" allowBlank="1" showInputMessage="1" showErrorMessage="1" xr:uid="{75228A3B-9518-4717-82AA-63574CFC7B71}">
          <x14:formula1>
            <xm:f>IF($D$25="8㎜保温",認定配管!$B$4:$B$6,INDIRECT($C$4))</xm:f>
          </x14:formula1>
          <xm:sqref>D27:D46</xm:sqref>
        </x14:dataValidation>
        <x14:dataValidation type="list" allowBlank="1" showInputMessage="1" showErrorMessage="1" xr:uid="{06DF42E2-9CFF-4ABD-B80A-4D34DFCD3CFE}">
          <x14:formula1>
            <xm:f>IF($E$25="8㎜保温",認定配管!$B$4:$B$6,INDIRECT($C$4))</xm:f>
          </x14:formula1>
          <xm:sqref>E27:E46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EA76-2978-4878-A5D2-C1350D9408FE}">
  <sheetPr codeName="Sheet4"/>
  <dimension ref="A2:T59"/>
  <sheetViews>
    <sheetView workbookViewId="0">
      <selection activeCell="B10" sqref="B10"/>
    </sheetView>
  </sheetViews>
  <sheetFormatPr defaultRowHeight="14.25"/>
  <cols>
    <col min="1" max="1" width="16.625" customWidth="1"/>
    <col min="2" max="2" width="38.125" bestFit="1" customWidth="1"/>
    <col min="3" max="3" width="9.625" customWidth="1"/>
    <col min="4" max="4" width="10.5" customWidth="1"/>
    <col min="9" max="9" width="11" customWidth="1"/>
    <col min="10" max="10" width="13.125" customWidth="1"/>
    <col min="11" max="11" width="16.125" bestFit="1" customWidth="1"/>
    <col min="12" max="13" width="9.875" customWidth="1"/>
  </cols>
  <sheetData>
    <row r="2" spans="1:20">
      <c r="A2" s="15" t="s">
        <v>81</v>
      </c>
      <c r="B2" s="15" t="s">
        <v>82</v>
      </c>
      <c r="C2" s="15" t="s">
        <v>83</v>
      </c>
      <c r="D2" s="15" t="s">
        <v>28</v>
      </c>
      <c r="E2" s="15" t="s">
        <v>84</v>
      </c>
      <c r="F2" s="15" t="s">
        <v>85</v>
      </c>
      <c r="G2" s="15" t="s">
        <v>29</v>
      </c>
      <c r="H2" s="15" t="s">
        <v>26</v>
      </c>
      <c r="I2" s="15" t="s">
        <v>86</v>
      </c>
      <c r="J2" s="15" t="s">
        <v>87</v>
      </c>
      <c r="K2" s="15" t="s">
        <v>24</v>
      </c>
      <c r="L2" s="15"/>
      <c r="M2" s="15"/>
      <c r="O2" t="s">
        <v>35</v>
      </c>
      <c r="P2" t="s">
        <v>36</v>
      </c>
      <c r="Q2" t="s">
        <v>37</v>
      </c>
      <c r="R2" t="s">
        <v>38</v>
      </c>
    </row>
    <row r="3" spans="1:20">
      <c r="A3" t="s">
        <v>88</v>
      </c>
      <c r="B3" t="s">
        <v>89</v>
      </c>
      <c r="D3">
        <v>60</v>
      </c>
      <c r="E3">
        <v>1250</v>
      </c>
      <c r="F3">
        <v>600</v>
      </c>
      <c r="G3">
        <v>0.75</v>
      </c>
      <c r="H3">
        <v>35.299999999999997</v>
      </c>
      <c r="I3" s="20">
        <v>325</v>
      </c>
      <c r="J3" s="20">
        <v>13177</v>
      </c>
      <c r="K3" t="s">
        <v>31</v>
      </c>
      <c r="O3" t="s">
        <v>39</v>
      </c>
      <c r="P3">
        <v>7480</v>
      </c>
      <c r="Q3">
        <v>8230</v>
      </c>
      <c r="R3">
        <v>12500</v>
      </c>
      <c r="T3" t="s">
        <v>427</v>
      </c>
    </row>
    <row r="4" spans="1:20">
      <c r="A4" t="s">
        <v>90</v>
      </c>
      <c r="B4" t="s">
        <v>89</v>
      </c>
      <c r="D4">
        <v>60</v>
      </c>
      <c r="E4">
        <v>1239</v>
      </c>
      <c r="F4">
        <v>306.5</v>
      </c>
      <c r="G4">
        <v>0.38</v>
      </c>
      <c r="H4">
        <v>35.299999999999997</v>
      </c>
      <c r="I4" s="20">
        <v>325</v>
      </c>
      <c r="J4" s="20">
        <v>13177</v>
      </c>
      <c r="K4" t="s">
        <v>31</v>
      </c>
      <c r="O4" t="s">
        <v>40</v>
      </c>
      <c r="P4">
        <v>11200</v>
      </c>
      <c r="Q4">
        <v>12300</v>
      </c>
      <c r="R4">
        <v>18700</v>
      </c>
    </row>
    <row r="5" spans="1:20">
      <c r="A5" t="s">
        <v>428</v>
      </c>
      <c r="B5" t="s">
        <v>389</v>
      </c>
      <c r="C5" t="s">
        <v>91</v>
      </c>
      <c r="D5">
        <v>60</v>
      </c>
      <c r="E5">
        <v>1250</v>
      </c>
      <c r="F5">
        <v>600</v>
      </c>
      <c r="G5">
        <v>0.75</v>
      </c>
      <c r="H5">
        <v>35.299999999999997</v>
      </c>
      <c r="I5" s="20">
        <v>325</v>
      </c>
      <c r="J5" s="20">
        <v>13177</v>
      </c>
      <c r="K5" t="s">
        <v>31</v>
      </c>
      <c r="O5" t="s">
        <v>41</v>
      </c>
      <c r="P5">
        <v>14200</v>
      </c>
      <c r="Q5">
        <v>15600</v>
      </c>
      <c r="R5">
        <v>23700</v>
      </c>
    </row>
    <row r="6" spans="1:20">
      <c r="A6" t="s">
        <v>92</v>
      </c>
      <c r="B6" t="s">
        <v>89</v>
      </c>
      <c r="C6" t="s">
        <v>91</v>
      </c>
      <c r="D6">
        <v>60</v>
      </c>
      <c r="E6">
        <v>1239</v>
      </c>
      <c r="F6">
        <v>306.5</v>
      </c>
      <c r="G6">
        <v>0.38</v>
      </c>
      <c r="H6">
        <v>35.299999999999997</v>
      </c>
      <c r="I6" s="20">
        <v>325</v>
      </c>
      <c r="J6" s="20">
        <v>13177</v>
      </c>
      <c r="K6" t="s">
        <v>31</v>
      </c>
      <c r="O6" t="s">
        <v>42</v>
      </c>
      <c r="P6">
        <v>18200</v>
      </c>
      <c r="Q6">
        <v>20000</v>
      </c>
      <c r="R6">
        <v>30400</v>
      </c>
    </row>
    <row r="7" spans="1:20">
      <c r="A7" t="s">
        <v>93</v>
      </c>
      <c r="B7" t="s">
        <v>94</v>
      </c>
      <c r="C7" t="s">
        <v>91</v>
      </c>
      <c r="D7">
        <v>42</v>
      </c>
      <c r="E7">
        <v>1250</v>
      </c>
      <c r="F7">
        <v>600</v>
      </c>
      <c r="G7">
        <v>0.75</v>
      </c>
      <c r="H7">
        <v>35.5</v>
      </c>
      <c r="I7" s="20">
        <v>325</v>
      </c>
      <c r="J7" s="20">
        <v>20939</v>
      </c>
      <c r="K7" t="s">
        <v>33</v>
      </c>
      <c r="O7" t="s">
        <v>43</v>
      </c>
      <c r="P7">
        <v>21200</v>
      </c>
      <c r="Q7">
        <v>23300</v>
      </c>
      <c r="R7">
        <v>35400</v>
      </c>
    </row>
    <row r="8" spans="1:20">
      <c r="A8" t="s">
        <v>95</v>
      </c>
      <c r="B8" t="s">
        <v>94</v>
      </c>
      <c r="C8" t="s">
        <v>91</v>
      </c>
      <c r="D8">
        <v>42</v>
      </c>
      <c r="E8">
        <v>1281</v>
      </c>
      <c r="F8">
        <v>296.5</v>
      </c>
      <c r="G8">
        <v>0.38</v>
      </c>
      <c r="H8">
        <v>35.5</v>
      </c>
      <c r="I8" s="20">
        <v>325</v>
      </c>
      <c r="J8" s="20">
        <v>20939</v>
      </c>
      <c r="K8" t="s">
        <v>33</v>
      </c>
      <c r="O8" t="s">
        <v>44</v>
      </c>
      <c r="P8">
        <v>24900</v>
      </c>
      <c r="Q8">
        <v>27400</v>
      </c>
      <c r="R8">
        <v>41600</v>
      </c>
    </row>
    <row r="9" spans="1:20">
      <c r="A9" t="s">
        <v>96</v>
      </c>
      <c r="B9" t="s">
        <v>97</v>
      </c>
      <c r="C9" t="s">
        <v>98</v>
      </c>
      <c r="D9">
        <v>70</v>
      </c>
      <c r="E9">
        <v>7500</v>
      </c>
      <c r="F9">
        <v>7500</v>
      </c>
      <c r="G9">
        <v>0.75</v>
      </c>
      <c r="H9">
        <v>34.799999999999997</v>
      </c>
      <c r="I9" s="20">
        <v>325</v>
      </c>
      <c r="J9" s="20">
        <v>20630</v>
      </c>
      <c r="K9" t="s">
        <v>34</v>
      </c>
      <c r="O9" t="s">
        <v>45</v>
      </c>
      <c r="P9">
        <v>28100</v>
      </c>
      <c r="Q9">
        <v>30900</v>
      </c>
      <c r="R9">
        <v>46900</v>
      </c>
    </row>
    <row r="10" spans="1:20">
      <c r="A10" t="s">
        <v>99</v>
      </c>
      <c r="B10" t="s">
        <v>97</v>
      </c>
      <c r="C10" t="s">
        <v>98</v>
      </c>
      <c r="D10">
        <v>75</v>
      </c>
      <c r="E10">
        <v>7500</v>
      </c>
      <c r="F10">
        <v>7500</v>
      </c>
      <c r="G10">
        <v>0.75</v>
      </c>
      <c r="H10">
        <v>34.799999999999997</v>
      </c>
      <c r="I10" s="20">
        <v>325</v>
      </c>
      <c r="J10" s="20">
        <v>20630</v>
      </c>
      <c r="K10" t="s">
        <v>34</v>
      </c>
      <c r="O10" t="s">
        <v>46</v>
      </c>
      <c r="P10">
        <v>31700</v>
      </c>
      <c r="Q10">
        <v>34900</v>
      </c>
      <c r="R10">
        <v>52900</v>
      </c>
    </row>
    <row r="11" spans="1:20">
      <c r="A11" t="s">
        <v>100</v>
      </c>
      <c r="B11" t="s">
        <v>101</v>
      </c>
      <c r="C11" t="s">
        <v>98</v>
      </c>
      <c r="D11">
        <v>100</v>
      </c>
      <c r="E11">
        <v>7500</v>
      </c>
      <c r="F11">
        <v>7500</v>
      </c>
      <c r="G11">
        <v>0.75</v>
      </c>
      <c r="H11">
        <v>34.799999999999997</v>
      </c>
      <c r="I11" s="20">
        <v>325</v>
      </c>
      <c r="J11" s="20">
        <v>20630</v>
      </c>
      <c r="K11" t="s">
        <v>34</v>
      </c>
      <c r="O11" t="s">
        <v>47</v>
      </c>
      <c r="P11">
        <v>34900</v>
      </c>
      <c r="Q11">
        <v>38400</v>
      </c>
      <c r="R11">
        <v>58300</v>
      </c>
    </row>
    <row r="12" spans="1:20">
      <c r="I12" s="20"/>
      <c r="J12" s="20"/>
      <c r="O12" t="s">
        <v>48</v>
      </c>
      <c r="P12">
        <v>38500</v>
      </c>
      <c r="Q12">
        <v>42400</v>
      </c>
      <c r="R12">
        <v>64300</v>
      </c>
    </row>
    <row r="13" spans="1:20">
      <c r="O13" t="s">
        <v>49</v>
      </c>
      <c r="P13">
        <v>41700</v>
      </c>
      <c r="Q13">
        <v>45900</v>
      </c>
      <c r="R13">
        <v>69600</v>
      </c>
    </row>
    <row r="14" spans="1:20">
      <c r="O14" t="s">
        <v>50</v>
      </c>
      <c r="P14">
        <v>1820</v>
      </c>
      <c r="Q14">
        <v>2000</v>
      </c>
      <c r="R14">
        <v>3040</v>
      </c>
    </row>
    <row r="15" spans="1:20">
      <c r="A15" t="s">
        <v>443</v>
      </c>
      <c r="C15" s="1" t="s">
        <v>11</v>
      </c>
      <c r="D15" s="1" t="s">
        <v>19</v>
      </c>
      <c r="E15" t="s">
        <v>71</v>
      </c>
      <c r="F15" t="s">
        <v>72</v>
      </c>
      <c r="G15" t="s">
        <v>73</v>
      </c>
      <c r="H15" t="s">
        <v>74</v>
      </c>
      <c r="J15" t="s">
        <v>442</v>
      </c>
      <c r="K15" t="s">
        <v>19</v>
      </c>
      <c r="L15" t="s">
        <v>25</v>
      </c>
      <c r="O15" t="s">
        <v>51</v>
      </c>
      <c r="P15">
        <v>2330</v>
      </c>
      <c r="Q15">
        <v>2560</v>
      </c>
      <c r="R15">
        <v>3890</v>
      </c>
    </row>
    <row r="16" spans="1:20">
      <c r="A16" t="s">
        <v>444</v>
      </c>
      <c r="C16">
        <v>2.0001000000000001E-2</v>
      </c>
      <c r="D16" s="50">
        <v>0.04</v>
      </c>
      <c r="E16" t="s">
        <v>39</v>
      </c>
      <c r="G16">
        <v>1</v>
      </c>
      <c r="J16">
        <v>101</v>
      </c>
      <c r="K16">
        <v>200</v>
      </c>
      <c r="L16" t="s">
        <v>50</v>
      </c>
      <c r="O16" t="s">
        <v>52</v>
      </c>
      <c r="P16">
        <v>2330</v>
      </c>
      <c r="Q16">
        <v>2560</v>
      </c>
      <c r="R16">
        <v>3890</v>
      </c>
    </row>
    <row r="17" spans="1:18">
      <c r="A17" t="s">
        <v>445</v>
      </c>
      <c r="C17">
        <v>4.0001000000000002E-2</v>
      </c>
      <c r="D17" s="50">
        <v>0.06</v>
      </c>
      <c r="E17" t="s">
        <v>40</v>
      </c>
      <c r="G17">
        <v>1</v>
      </c>
      <c r="J17">
        <v>201</v>
      </c>
      <c r="K17">
        <v>300</v>
      </c>
      <c r="L17" t="s">
        <v>51</v>
      </c>
      <c r="O17" t="s">
        <v>53</v>
      </c>
      <c r="P17">
        <v>2330</v>
      </c>
      <c r="Q17">
        <v>2560</v>
      </c>
      <c r="R17">
        <v>3890</v>
      </c>
    </row>
    <row r="18" spans="1:18">
      <c r="C18">
        <v>6.0000999999999999E-2</v>
      </c>
      <c r="D18" s="50">
        <v>0.08</v>
      </c>
      <c r="E18" t="s">
        <v>41</v>
      </c>
      <c r="G18">
        <v>1</v>
      </c>
      <c r="J18">
        <v>301</v>
      </c>
      <c r="K18">
        <v>400</v>
      </c>
      <c r="L18" t="s">
        <v>52</v>
      </c>
      <c r="O18" t="s">
        <v>54</v>
      </c>
      <c r="P18">
        <v>3010</v>
      </c>
      <c r="Q18">
        <v>3310</v>
      </c>
      <c r="R18">
        <v>5030</v>
      </c>
    </row>
    <row r="19" spans="1:18">
      <c r="C19">
        <v>8.0001000000000003E-2</v>
      </c>
      <c r="D19" s="50">
        <v>0.1</v>
      </c>
      <c r="E19" t="s">
        <v>42</v>
      </c>
      <c r="G19">
        <v>1</v>
      </c>
      <c r="J19">
        <v>401</v>
      </c>
      <c r="K19">
        <v>500</v>
      </c>
      <c r="L19" t="s">
        <v>53</v>
      </c>
      <c r="O19" t="s">
        <v>55</v>
      </c>
      <c r="P19">
        <v>3010</v>
      </c>
      <c r="Q19">
        <v>3310</v>
      </c>
      <c r="R19">
        <v>5030</v>
      </c>
    </row>
    <row r="20" spans="1:18">
      <c r="C20">
        <v>0.10000100000000001</v>
      </c>
      <c r="D20" s="50">
        <v>0.12</v>
      </c>
      <c r="E20" t="s">
        <v>43</v>
      </c>
      <c r="G20">
        <v>1</v>
      </c>
      <c r="J20">
        <v>501</v>
      </c>
      <c r="K20">
        <v>600</v>
      </c>
      <c r="L20" t="s">
        <v>54</v>
      </c>
      <c r="O20" t="s">
        <v>56</v>
      </c>
      <c r="P20">
        <v>3690</v>
      </c>
      <c r="Q20">
        <v>4060</v>
      </c>
      <c r="R20">
        <v>6160</v>
      </c>
    </row>
    <row r="21" spans="1:18">
      <c r="C21">
        <v>0.120001</v>
      </c>
      <c r="D21" s="50">
        <v>0.14000000000000001</v>
      </c>
      <c r="E21" t="s">
        <v>44</v>
      </c>
      <c r="G21">
        <v>1</v>
      </c>
      <c r="J21">
        <v>601</v>
      </c>
      <c r="K21">
        <v>700</v>
      </c>
      <c r="L21" t="s">
        <v>55</v>
      </c>
      <c r="O21" t="s">
        <v>57</v>
      </c>
      <c r="P21">
        <v>3690</v>
      </c>
      <c r="Q21">
        <v>4060</v>
      </c>
      <c r="R21">
        <v>6160</v>
      </c>
    </row>
    <row r="22" spans="1:18">
      <c r="C22">
        <v>0.14000099999999999</v>
      </c>
      <c r="D22" s="50">
        <v>0.16</v>
      </c>
      <c r="E22" t="s">
        <v>45</v>
      </c>
      <c r="G22">
        <v>1</v>
      </c>
      <c r="J22">
        <v>701</v>
      </c>
      <c r="K22">
        <v>800</v>
      </c>
      <c r="L22" t="s">
        <v>56</v>
      </c>
      <c r="O22" t="s">
        <v>58</v>
      </c>
      <c r="P22">
        <v>3690</v>
      </c>
      <c r="Q22">
        <v>4060</v>
      </c>
      <c r="R22">
        <v>6160</v>
      </c>
    </row>
    <row r="23" spans="1:18">
      <c r="C23">
        <v>0.160001</v>
      </c>
      <c r="D23" s="50">
        <v>0.18</v>
      </c>
      <c r="E23" t="s">
        <v>46</v>
      </c>
      <c r="G23">
        <v>1</v>
      </c>
      <c r="J23">
        <v>801</v>
      </c>
      <c r="K23">
        <v>900</v>
      </c>
      <c r="L23" t="s">
        <v>57</v>
      </c>
      <c r="O23" t="s">
        <v>59</v>
      </c>
      <c r="P23">
        <v>4370</v>
      </c>
      <c r="Q23">
        <v>4810</v>
      </c>
      <c r="R23">
        <v>7300</v>
      </c>
    </row>
    <row r="24" spans="1:18">
      <c r="C24">
        <v>0.18000099999999999</v>
      </c>
      <c r="D24" s="50">
        <v>0.2</v>
      </c>
      <c r="E24" t="s">
        <v>47</v>
      </c>
      <c r="G24">
        <v>1</v>
      </c>
      <c r="J24">
        <v>901</v>
      </c>
      <c r="K24">
        <v>1000</v>
      </c>
      <c r="L24" t="s">
        <v>58</v>
      </c>
      <c r="O24" t="s">
        <v>60</v>
      </c>
      <c r="P24">
        <v>4370</v>
      </c>
      <c r="Q24">
        <v>4810</v>
      </c>
      <c r="R24">
        <v>7300</v>
      </c>
    </row>
    <row r="25" spans="1:18">
      <c r="C25">
        <v>0.20000100000000001</v>
      </c>
      <c r="D25" s="50">
        <v>0.22</v>
      </c>
      <c r="E25" t="s">
        <v>48</v>
      </c>
      <c r="G25">
        <v>1</v>
      </c>
      <c r="J25">
        <v>1001</v>
      </c>
      <c r="K25">
        <v>1100</v>
      </c>
      <c r="L25" t="s">
        <v>59</v>
      </c>
      <c r="O25" t="s">
        <v>61</v>
      </c>
      <c r="P25">
        <v>5060</v>
      </c>
      <c r="Q25">
        <v>5570</v>
      </c>
      <c r="R25">
        <v>8450</v>
      </c>
    </row>
    <row r="26" spans="1:18">
      <c r="C26">
        <v>0.220001</v>
      </c>
      <c r="D26" s="50">
        <v>0.24</v>
      </c>
      <c r="E26" t="s">
        <v>49</v>
      </c>
      <c r="G26">
        <v>1</v>
      </c>
      <c r="J26">
        <v>1101</v>
      </c>
      <c r="K26">
        <v>1200</v>
      </c>
      <c r="L26" t="s">
        <v>60</v>
      </c>
      <c r="O26" t="s">
        <v>62</v>
      </c>
      <c r="P26">
        <v>5060</v>
      </c>
      <c r="Q26">
        <v>5570</v>
      </c>
      <c r="R26">
        <v>8450</v>
      </c>
    </row>
    <row r="27" spans="1:18">
      <c r="C27">
        <v>0.24000099999999999</v>
      </c>
      <c r="D27" s="50">
        <v>0.26</v>
      </c>
      <c r="E27" t="s">
        <v>43</v>
      </c>
      <c r="F27" t="s">
        <v>44</v>
      </c>
      <c r="G27">
        <v>1</v>
      </c>
      <c r="H27">
        <v>1</v>
      </c>
      <c r="J27">
        <v>1201</v>
      </c>
      <c r="K27">
        <v>1300</v>
      </c>
      <c r="L27" t="s">
        <v>61</v>
      </c>
      <c r="O27" t="s">
        <v>63</v>
      </c>
      <c r="P27">
        <v>5060</v>
      </c>
      <c r="Q27">
        <v>5570</v>
      </c>
      <c r="R27">
        <v>8450</v>
      </c>
    </row>
    <row r="28" spans="1:18">
      <c r="C28">
        <v>0.26000099999999998</v>
      </c>
      <c r="D28" s="50">
        <v>0.28000000000000003</v>
      </c>
      <c r="E28" t="s">
        <v>44</v>
      </c>
      <c r="G28">
        <v>2</v>
      </c>
      <c r="J28">
        <v>1301</v>
      </c>
      <c r="K28">
        <v>1400</v>
      </c>
      <c r="L28" t="s">
        <v>62</v>
      </c>
      <c r="O28" t="s">
        <v>64</v>
      </c>
      <c r="P28">
        <v>84</v>
      </c>
      <c r="Q28">
        <v>92</v>
      </c>
      <c r="R28">
        <v>170</v>
      </c>
    </row>
    <row r="29" spans="1:18">
      <c r="C29">
        <v>0.280001</v>
      </c>
      <c r="D29" s="50">
        <v>0.3</v>
      </c>
      <c r="E29" t="s">
        <v>44</v>
      </c>
      <c r="F29" t="s">
        <v>45</v>
      </c>
      <c r="G29">
        <v>1</v>
      </c>
      <c r="H29">
        <v>1</v>
      </c>
      <c r="J29">
        <v>1401</v>
      </c>
      <c r="K29">
        <v>1500</v>
      </c>
      <c r="L29" t="s">
        <v>63</v>
      </c>
      <c r="O29" t="s">
        <v>65</v>
      </c>
      <c r="P29">
        <v>84</v>
      </c>
      <c r="Q29">
        <v>92</v>
      </c>
      <c r="R29">
        <v>170</v>
      </c>
    </row>
    <row r="30" spans="1:18">
      <c r="C30">
        <v>0.30000100000000002</v>
      </c>
      <c r="D30" s="50">
        <v>0.32</v>
      </c>
      <c r="E30" t="s">
        <v>45</v>
      </c>
      <c r="G30">
        <v>2</v>
      </c>
      <c r="O30" t="s">
        <v>66</v>
      </c>
      <c r="P30">
        <v>130</v>
      </c>
      <c r="Q30">
        <v>140</v>
      </c>
      <c r="R30">
        <v>260</v>
      </c>
    </row>
    <row r="31" spans="1:18">
      <c r="C31">
        <v>0.32000099999999998</v>
      </c>
      <c r="D31" s="50">
        <v>0.34</v>
      </c>
      <c r="E31" t="s">
        <v>45</v>
      </c>
      <c r="F31" t="s">
        <v>46</v>
      </c>
      <c r="G31">
        <v>1</v>
      </c>
      <c r="H31">
        <v>1</v>
      </c>
      <c r="O31" t="s">
        <v>67</v>
      </c>
      <c r="P31">
        <v>170</v>
      </c>
      <c r="Q31">
        <v>190</v>
      </c>
      <c r="R31">
        <v>340</v>
      </c>
    </row>
    <row r="32" spans="1:18">
      <c r="C32">
        <v>0.340001</v>
      </c>
      <c r="D32" s="50">
        <v>0.36</v>
      </c>
      <c r="E32" t="s">
        <v>46</v>
      </c>
      <c r="G32">
        <v>2</v>
      </c>
      <c r="O32" t="s">
        <v>68</v>
      </c>
      <c r="P32">
        <v>660</v>
      </c>
      <c r="Q32">
        <v>730</v>
      </c>
      <c r="R32">
        <v>1100</v>
      </c>
    </row>
    <row r="33" spans="3:18">
      <c r="C33">
        <v>0.36000100000000002</v>
      </c>
      <c r="D33" s="50">
        <v>0.38</v>
      </c>
      <c r="E33" t="s">
        <v>46</v>
      </c>
      <c r="F33" t="s">
        <v>47</v>
      </c>
      <c r="G33">
        <v>1</v>
      </c>
      <c r="H33">
        <v>1</v>
      </c>
      <c r="O33" t="s">
        <v>69</v>
      </c>
      <c r="P33">
        <v>1640</v>
      </c>
      <c r="Q33">
        <v>1800</v>
      </c>
      <c r="R33">
        <v>2740</v>
      </c>
    </row>
    <row r="34" spans="3:18">
      <c r="C34">
        <v>0.38000099999999998</v>
      </c>
      <c r="D34" s="50">
        <v>0.4</v>
      </c>
      <c r="E34" t="s">
        <v>47</v>
      </c>
      <c r="G34">
        <v>2</v>
      </c>
      <c r="O34" t="s">
        <v>70</v>
      </c>
      <c r="P34">
        <v>3500</v>
      </c>
      <c r="Q34">
        <v>3850</v>
      </c>
      <c r="R34">
        <v>5850</v>
      </c>
    </row>
    <row r="35" spans="3:18">
      <c r="C35">
        <v>0.400001</v>
      </c>
      <c r="D35" s="50">
        <v>0.42</v>
      </c>
      <c r="E35" t="s">
        <v>47</v>
      </c>
      <c r="F35" t="s">
        <v>48</v>
      </c>
      <c r="G35">
        <v>1</v>
      </c>
      <c r="H35">
        <v>1</v>
      </c>
    </row>
    <row r="36" spans="3:18">
      <c r="C36">
        <v>0.42000100000000001</v>
      </c>
      <c r="D36" s="50">
        <v>0.44</v>
      </c>
      <c r="E36" t="s">
        <v>48</v>
      </c>
      <c r="G36">
        <v>2</v>
      </c>
    </row>
    <row r="37" spans="3:18">
      <c r="C37">
        <v>0.44000099999999998</v>
      </c>
      <c r="D37" s="50">
        <v>0.46</v>
      </c>
      <c r="E37" t="s">
        <v>48</v>
      </c>
      <c r="F37" t="s">
        <v>49</v>
      </c>
      <c r="G37">
        <v>1</v>
      </c>
      <c r="H37">
        <v>1</v>
      </c>
    </row>
    <row r="38" spans="3:18">
      <c r="C38">
        <v>0.46000099999999999</v>
      </c>
      <c r="D38" s="50">
        <v>0.48</v>
      </c>
      <c r="E38" t="s">
        <v>49</v>
      </c>
      <c r="G38">
        <v>2</v>
      </c>
    </row>
    <row r="39" spans="3:18">
      <c r="C39">
        <v>0.48000100000000001</v>
      </c>
      <c r="D39" s="50">
        <v>0.5</v>
      </c>
      <c r="E39" t="s">
        <v>45</v>
      </c>
      <c r="F39" t="s">
        <v>46</v>
      </c>
      <c r="G39">
        <v>2</v>
      </c>
      <c r="H39">
        <v>1</v>
      </c>
    </row>
    <row r="40" spans="3:18">
      <c r="C40">
        <v>0.50000100000000003</v>
      </c>
      <c r="D40" s="50">
        <v>0.52</v>
      </c>
      <c r="E40" t="s">
        <v>46</v>
      </c>
      <c r="F40" t="s">
        <v>45</v>
      </c>
      <c r="G40">
        <v>2</v>
      </c>
      <c r="H40">
        <v>1</v>
      </c>
    </row>
    <row r="41" spans="3:18">
      <c r="C41">
        <v>0.52000100000000005</v>
      </c>
      <c r="D41" s="50">
        <v>0.54</v>
      </c>
      <c r="E41" t="s">
        <v>46</v>
      </c>
      <c r="G41">
        <v>3</v>
      </c>
    </row>
    <row r="42" spans="3:18">
      <c r="C42">
        <v>0.54000099999999995</v>
      </c>
      <c r="D42" s="50">
        <v>0.56000000000000005</v>
      </c>
      <c r="E42" t="s">
        <v>47</v>
      </c>
      <c r="F42" t="s">
        <v>45</v>
      </c>
      <c r="G42">
        <v>2</v>
      </c>
      <c r="H42">
        <v>1</v>
      </c>
    </row>
    <row r="43" spans="3:18">
      <c r="C43">
        <v>0.56000099999999997</v>
      </c>
      <c r="D43" s="50">
        <v>0.57999999999999996</v>
      </c>
      <c r="E43" t="s">
        <v>47</v>
      </c>
      <c r="F43" t="s">
        <v>46</v>
      </c>
      <c r="G43">
        <v>2</v>
      </c>
    </row>
    <row r="44" spans="3:18">
      <c r="C44">
        <v>0.58000099999999999</v>
      </c>
      <c r="D44" s="50">
        <v>0.6</v>
      </c>
      <c r="E44" t="s">
        <v>47</v>
      </c>
      <c r="G44">
        <v>3</v>
      </c>
    </row>
    <row r="45" spans="3:18">
      <c r="C45">
        <v>0.60000100000000001</v>
      </c>
      <c r="D45" s="50">
        <v>0.62</v>
      </c>
      <c r="E45" t="s">
        <v>48</v>
      </c>
      <c r="F45" t="s">
        <v>46</v>
      </c>
      <c r="G45">
        <v>2</v>
      </c>
      <c r="H45">
        <v>1</v>
      </c>
    </row>
    <row r="46" spans="3:18">
      <c r="C46">
        <v>0.62000100000000002</v>
      </c>
      <c r="D46" s="50">
        <v>0.64</v>
      </c>
      <c r="E46" t="s">
        <v>48</v>
      </c>
      <c r="F46" t="s">
        <v>47</v>
      </c>
      <c r="G46">
        <v>2</v>
      </c>
      <c r="H46">
        <v>1</v>
      </c>
    </row>
    <row r="47" spans="3:18">
      <c r="C47">
        <v>0.64000100000000004</v>
      </c>
      <c r="D47" s="50">
        <v>0.66</v>
      </c>
      <c r="E47" t="s">
        <v>48</v>
      </c>
      <c r="G47">
        <v>3</v>
      </c>
    </row>
    <row r="48" spans="3:18">
      <c r="C48">
        <v>0.66000099999999995</v>
      </c>
      <c r="D48" s="50">
        <v>0.68</v>
      </c>
      <c r="E48" t="s">
        <v>49</v>
      </c>
      <c r="F48" t="s">
        <v>47</v>
      </c>
      <c r="G48">
        <v>2</v>
      </c>
      <c r="H48">
        <v>1</v>
      </c>
    </row>
    <row r="49" spans="3:8">
      <c r="C49">
        <v>0.68000099999999997</v>
      </c>
      <c r="D49" s="50">
        <v>0.7</v>
      </c>
      <c r="E49" t="s">
        <v>49</v>
      </c>
      <c r="F49" t="s">
        <v>48</v>
      </c>
      <c r="G49">
        <v>2</v>
      </c>
      <c r="H49">
        <v>1</v>
      </c>
    </row>
    <row r="50" spans="3:8">
      <c r="C50">
        <v>0.70000099999999998</v>
      </c>
      <c r="D50" s="50">
        <v>0.72</v>
      </c>
      <c r="E50" t="s">
        <v>49</v>
      </c>
      <c r="G50">
        <v>3</v>
      </c>
    </row>
    <row r="51" spans="3:8">
      <c r="C51">
        <v>0.720001</v>
      </c>
      <c r="D51" s="50">
        <v>0.74</v>
      </c>
      <c r="E51" t="s">
        <v>46</v>
      </c>
      <c r="F51" t="s">
        <v>47</v>
      </c>
      <c r="G51">
        <v>3</v>
      </c>
      <c r="H51">
        <v>1</v>
      </c>
    </row>
    <row r="52" spans="3:8">
      <c r="C52">
        <v>0.74000100000000002</v>
      </c>
      <c r="D52" s="50">
        <v>0.75</v>
      </c>
      <c r="E52" t="s">
        <v>46</v>
      </c>
      <c r="F52" t="s">
        <v>48</v>
      </c>
      <c r="G52">
        <v>3</v>
      </c>
      <c r="H52">
        <v>1</v>
      </c>
    </row>
    <row r="54" spans="3:8">
      <c r="C54" s="1" t="s">
        <v>75</v>
      </c>
      <c r="D54" s="1" t="s">
        <v>19</v>
      </c>
      <c r="E54" t="s">
        <v>25</v>
      </c>
    </row>
    <row r="55" spans="3:8">
      <c r="C55">
        <v>0</v>
      </c>
      <c r="D55">
        <v>100</v>
      </c>
      <c r="E55" t="s">
        <v>76</v>
      </c>
    </row>
    <row r="56" spans="3:8">
      <c r="C56">
        <v>101</v>
      </c>
      <c r="D56">
        <v>115</v>
      </c>
      <c r="E56" t="s">
        <v>77</v>
      </c>
    </row>
    <row r="57" spans="3:8">
      <c r="C57">
        <v>116</v>
      </c>
      <c r="D57">
        <v>150</v>
      </c>
      <c r="E57" t="s">
        <v>78</v>
      </c>
    </row>
    <row r="58" spans="3:8">
      <c r="C58">
        <v>151</v>
      </c>
      <c r="D58">
        <v>200</v>
      </c>
      <c r="E58" t="s">
        <v>79</v>
      </c>
    </row>
    <row r="59" spans="3:8">
      <c r="C59">
        <v>201</v>
      </c>
      <c r="D59">
        <v>250</v>
      </c>
      <c r="E59" t="s">
        <v>80</v>
      </c>
    </row>
  </sheetData>
  <phoneticPr fontId="2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05EC-9123-4D24-A4DC-165749906A97}">
  <sheetPr codeName="Sheet2"/>
  <dimension ref="A2:AA354"/>
  <sheetViews>
    <sheetView topLeftCell="I1" workbookViewId="0">
      <pane ySplit="3" topLeftCell="A4" activePane="bottomLeft" state="frozen"/>
      <selection activeCell="Q11" sqref="Q11"/>
      <selection pane="bottomLeft" activeCell="U2" sqref="U2:Y2"/>
    </sheetView>
  </sheetViews>
  <sheetFormatPr defaultRowHeight="12"/>
  <cols>
    <col min="1" max="1" width="22.625" style="30" customWidth="1"/>
    <col min="2" max="10" width="12.625" style="30" customWidth="1"/>
    <col min="11" max="11" width="9.625" style="30" customWidth="1"/>
    <col min="12" max="12" width="22.625" style="30" customWidth="1"/>
    <col min="13" max="13" width="7.625" style="30" customWidth="1"/>
    <col min="14" max="14" width="17.375" style="30" customWidth="1"/>
    <col min="15" max="15" width="7.625" style="31" customWidth="1"/>
    <col min="16" max="16" width="9.625" style="30" customWidth="1"/>
    <col min="17" max="17" width="22.625" style="30" customWidth="1"/>
    <col min="18" max="18" width="7.625" style="30" customWidth="1"/>
    <col min="19" max="19" width="10.25" style="30" bestFit="1" customWidth="1"/>
    <col min="20" max="20" width="7.625" style="31" customWidth="1"/>
    <col min="21" max="21" width="9.625" style="30" customWidth="1"/>
    <col min="22" max="22" width="22.625" style="30" customWidth="1"/>
    <col min="23" max="23" width="7.625" style="30" customWidth="1"/>
    <col min="24" max="24" width="25.5" style="30" bestFit="1" customWidth="1"/>
    <col min="25" max="25" width="7.625" style="31" customWidth="1"/>
    <col min="26" max="16384" width="9" style="30"/>
  </cols>
  <sheetData>
    <row r="2" spans="1:27">
      <c r="K2" s="99" t="s">
        <v>340</v>
      </c>
      <c r="L2" s="99"/>
      <c r="M2" s="99"/>
      <c r="N2" s="99"/>
      <c r="O2" s="99"/>
      <c r="P2" s="100" t="s">
        <v>359</v>
      </c>
      <c r="Q2" s="100"/>
      <c r="R2" s="100"/>
      <c r="S2" s="100"/>
      <c r="T2" s="100"/>
      <c r="U2" s="101" t="s">
        <v>337</v>
      </c>
      <c r="V2" s="101"/>
      <c r="W2" s="101"/>
      <c r="X2" s="101"/>
      <c r="Y2" s="101"/>
    </row>
    <row r="3" spans="1:27">
      <c r="B3" s="30" t="s">
        <v>30</v>
      </c>
      <c r="C3" s="30" t="s">
        <v>430</v>
      </c>
      <c r="D3" s="30" t="s">
        <v>431</v>
      </c>
      <c r="E3" s="30" t="s">
        <v>432</v>
      </c>
      <c r="F3" s="30" t="s">
        <v>32</v>
      </c>
      <c r="G3" s="30" t="s">
        <v>433</v>
      </c>
      <c r="H3" s="30" t="s">
        <v>439</v>
      </c>
      <c r="I3" s="30" t="s">
        <v>440</v>
      </c>
      <c r="J3" s="30" t="s">
        <v>441</v>
      </c>
      <c r="K3" s="30" t="s">
        <v>81</v>
      </c>
      <c r="L3" s="30" t="s">
        <v>337</v>
      </c>
      <c r="M3" s="30" t="s">
        <v>108</v>
      </c>
      <c r="N3" s="30" t="s">
        <v>400</v>
      </c>
      <c r="O3" s="31" t="s">
        <v>110</v>
      </c>
      <c r="P3" s="30" t="s">
        <v>81</v>
      </c>
      <c r="Q3" s="30" t="s">
        <v>337</v>
      </c>
      <c r="R3" s="30" t="s">
        <v>336</v>
      </c>
      <c r="S3" s="30" t="s">
        <v>400</v>
      </c>
      <c r="T3" s="31" t="s">
        <v>110</v>
      </c>
      <c r="U3" s="30" t="s">
        <v>835</v>
      </c>
      <c r="V3" s="30" t="s">
        <v>337</v>
      </c>
      <c r="W3" s="30" t="s">
        <v>336</v>
      </c>
      <c r="X3" s="30" t="s">
        <v>400</v>
      </c>
      <c r="Y3" s="31" t="s">
        <v>110</v>
      </c>
    </row>
    <row r="4" spans="1:27">
      <c r="A4" s="57" t="s">
        <v>382</v>
      </c>
      <c r="B4" s="30">
        <v>6.35</v>
      </c>
      <c r="C4" s="30">
        <v>6.35</v>
      </c>
      <c r="D4" s="30">
        <v>6.35</v>
      </c>
      <c r="E4" s="30">
        <v>6.35</v>
      </c>
      <c r="F4" s="30">
        <v>6.35</v>
      </c>
      <c r="G4" s="30">
        <v>6.35</v>
      </c>
      <c r="H4" s="30">
        <v>6.35</v>
      </c>
      <c r="I4" s="30">
        <v>6.35</v>
      </c>
      <c r="J4" s="30">
        <v>6.35</v>
      </c>
      <c r="L4" s="30" t="s">
        <v>382</v>
      </c>
      <c r="M4" s="30">
        <v>6.35</v>
      </c>
      <c r="N4" s="30" t="str">
        <f t="shared" ref="N4:N10" si="0">L4&amp;"_"&amp;M4</f>
        <v>銅管_8㎜保温_6.35</v>
      </c>
      <c r="O4" s="31">
        <v>392</v>
      </c>
      <c r="Q4" s="30" t="s">
        <v>451</v>
      </c>
      <c r="R4" s="30" t="s">
        <v>473</v>
      </c>
      <c r="S4" s="30" t="s">
        <v>474</v>
      </c>
      <c r="T4" s="68">
        <v>6.2</v>
      </c>
      <c r="U4" s="68">
        <v>1.1299999999999999</v>
      </c>
      <c r="V4" s="30" t="s">
        <v>113</v>
      </c>
      <c r="W4" s="30">
        <v>10</v>
      </c>
      <c r="X4" s="30" t="str">
        <f>V4&amp;"_"&amp;W4</f>
        <v>VE管_10</v>
      </c>
      <c r="Y4" s="59">
        <v>154</v>
      </c>
      <c r="AA4" s="30" t="s">
        <v>376</v>
      </c>
    </row>
    <row r="5" spans="1:27">
      <c r="A5" s="57" t="s">
        <v>383</v>
      </c>
      <c r="B5" s="30">
        <v>9.52</v>
      </c>
      <c r="C5" s="30">
        <v>9.52</v>
      </c>
      <c r="D5" s="30">
        <v>9.52</v>
      </c>
      <c r="E5" s="30">
        <v>9.52</v>
      </c>
      <c r="F5" s="30">
        <v>9.52</v>
      </c>
      <c r="G5" s="30">
        <v>9.52</v>
      </c>
      <c r="H5" s="30">
        <v>9.52</v>
      </c>
      <c r="I5" s="30">
        <v>9.52</v>
      </c>
      <c r="J5" s="30">
        <v>9.52</v>
      </c>
      <c r="L5" s="30" t="s">
        <v>382</v>
      </c>
      <c r="M5" s="30">
        <v>9.52</v>
      </c>
      <c r="N5" s="30" t="str">
        <f t="shared" si="0"/>
        <v>銅管_8㎜保温_9.52</v>
      </c>
      <c r="O5" s="31">
        <v>512</v>
      </c>
      <c r="Q5" s="30" t="s">
        <v>451</v>
      </c>
      <c r="R5" s="30" t="s">
        <v>475</v>
      </c>
      <c r="S5" s="30" t="s">
        <v>476</v>
      </c>
      <c r="T5" s="68">
        <v>8</v>
      </c>
      <c r="U5" s="68">
        <v>2.0099999999999998</v>
      </c>
      <c r="V5" s="30" t="s">
        <v>113</v>
      </c>
      <c r="W5" s="30">
        <v>14</v>
      </c>
      <c r="X5" s="30" t="str">
        <f t="shared" ref="X5:X68" si="1">V5&amp;"_"&amp;W5</f>
        <v>VE管_14</v>
      </c>
      <c r="Y5" s="59">
        <v>254</v>
      </c>
      <c r="AA5" s="30" t="s">
        <v>359</v>
      </c>
    </row>
    <row r="6" spans="1:27">
      <c r="A6" s="57" t="s">
        <v>384</v>
      </c>
      <c r="B6" s="30">
        <v>12.7</v>
      </c>
      <c r="C6" s="30">
        <v>12.7</v>
      </c>
      <c r="D6" s="30">
        <v>12.7</v>
      </c>
      <c r="E6" s="30">
        <v>12.7</v>
      </c>
      <c r="F6" s="30">
        <v>12.7</v>
      </c>
      <c r="G6" s="30">
        <v>12.7</v>
      </c>
      <c r="H6" s="30">
        <v>12.7</v>
      </c>
      <c r="I6" s="30">
        <v>12.7</v>
      </c>
      <c r="J6" s="30">
        <v>12.7</v>
      </c>
      <c r="L6" s="30" t="s">
        <v>382</v>
      </c>
      <c r="M6" s="30">
        <v>12.7</v>
      </c>
      <c r="N6" s="30" t="str">
        <f t="shared" si="0"/>
        <v>銅管_8㎜保温_12.7</v>
      </c>
      <c r="O6" s="31">
        <v>647</v>
      </c>
      <c r="Q6" s="30" t="s">
        <v>451</v>
      </c>
      <c r="R6" s="63" t="s">
        <v>477</v>
      </c>
      <c r="S6" s="30" t="s">
        <v>478</v>
      </c>
      <c r="T6" s="68">
        <v>10.199999999999999</v>
      </c>
      <c r="U6" s="68">
        <v>2</v>
      </c>
      <c r="V6" s="30" t="s">
        <v>113</v>
      </c>
      <c r="W6" s="30">
        <v>16</v>
      </c>
      <c r="X6" s="30" t="str">
        <f t="shared" si="1"/>
        <v>VE管_16</v>
      </c>
      <c r="Y6" s="59">
        <v>380</v>
      </c>
      <c r="AA6" s="30" t="s">
        <v>377</v>
      </c>
    </row>
    <row r="7" spans="1:27">
      <c r="A7" s="57" t="s">
        <v>103</v>
      </c>
      <c r="B7" s="30">
        <v>15.88</v>
      </c>
      <c r="C7" s="30">
        <v>15.88</v>
      </c>
      <c r="D7" s="30">
        <v>15.88</v>
      </c>
      <c r="E7" s="30">
        <v>15.88</v>
      </c>
      <c r="F7" s="30">
        <v>6.35</v>
      </c>
      <c r="G7" s="30">
        <v>6.35</v>
      </c>
      <c r="H7" s="30">
        <v>6.35</v>
      </c>
      <c r="I7" s="30">
        <v>6.35</v>
      </c>
      <c r="J7" s="30">
        <v>6.35</v>
      </c>
      <c r="L7" s="30" t="s">
        <v>383</v>
      </c>
      <c r="M7" s="30">
        <v>6.35</v>
      </c>
      <c r="N7" s="30" t="str">
        <f t="shared" si="0"/>
        <v>銅管_10㎜保温_6.35</v>
      </c>
      <c r="O7" s="31">
        <v>545</v>
      </c>
      <c r="Q7" s="30" t="s">
        <v>451</v>
      </c>
      <c r="R7" s="30" t="s">
        <v>479</v>
      </c>
      <c r="S7" s="30" t="s">
        <v>480</v>
      </c>
      <c r="T7" s="68">
        <v>16.600000000000001</v>
      </c>
      <c r="U7" s="68">
        <v>5.31</v>
      </c>
      <c r="V7" s="30" t="s">
        <v>113</v>
      </c>
      <c r="W7" s="30">
        <v>22</v>
      </c>
      <c r="X7" s="30" t="str">
        <f t="shared" si="1"/>
        <v>VE管_22</v>
      </c>
      <c r="Y7" s="59">
        <v>531</v>
      </c>
      <c r="AA7" s="30" t="s">
        <v>378</v>
      </c>
    </row>
    <row r="8" spans="1:27">
      <c r="A8" s="57" t="s">
        <v>104</v>
      </c>
      <c r="B8" s="30">
        <v>19.05</v>
      </c>
      <c r="C8" s="30">
        <v>19.05</v>
      </c>
      <c r="D8" s="30">
        <v>19.05</v>
      </c>
      <c r="E8" s="30">
        <v>19.05</v>
      </c>
      <c r="F8" s="30">
        <v>9.52</v>
      </c>
      <c r="G8" s="30">
        <v>9.52</v>
      </c>
      <c r="H8" s="30">
        <v>9.52</v>
      </c>
      <c r="I8" s="30">
        <v>9.52</v>
      </c>
      <c r="J8" s="30">
        <v>9.52</v>
      </c>
      <c r="L8" s="30" t="s">
        <v>383</v>
      </c>
      <c r="M8" s="30">
        <v>9.52</v>
      </c>
      <c r="N8" s="30" t="str">
        <f t="shared" si="0"/>
        <v>銅管_10㎜保温_9.52</v>
      </c>
      <c r="O8" s="31">
        <v>684</v>
      </c>
      <c r="Q8" s="30" t="s">
        <v>451</v>
      </c>
      <c r="R8" s="30" t="s">
        <v>481</v>
      </c>
      <c r="S8" s="30" t="s">
        <v>482</v>
      </c>
      <c r="T8" s="68">
        <v>6.2</v>
      </c>
      <c r="U8" s="68">
        <v>0.9</v>
      </c>
      <c r="V8" s="30" t="s">
        <v>113</v>
      </c>
      <c r="W8" s="30">
        <v>28</v>
      </c>
      <c r="X8" s="30" t="str">
        <f t="shared" si="1"/>
        <v>VE管_28</v>
      </c>
      <c r="Y8" s="59">
        <v>908</v>
      </c>
    </row>
    <row r="9" spans="1:27">
      <c r="A9" s="57" t="s">
        <v>105</v>
      </c>
      <c r="B9" s="30">
        <v>22.22</v>
      </c>
      <c r="C9" s="30">
        <v>22.22</v>
      </c>
      <c r="D9" s="30">
        <v>22.22</v>
      </c>
      <c r="E9" s="30">
        <v>22.22</v>
      </c>
      <c r="F9" s="30">
        <v>12.7</v>
      </c>
      <c r="G9" s="30">
        <v>12.7</v>
      </c>
      <c r="H9" s="30">
        <v>12.7</v>
      </c>
      <c r="I9" s="30">
        <v>12.7</v>
      </c>
      <c r="J9" s="30">
        <v>12.7</v>
      </c>
      <c r="L9" s="30" t="s">
        <v>383</v>
      </c>
      <c r="M9" s="30">
        <v>12.7</v>
      </c>
      <c r="N9" s="30" t="str">
        <f t="shared" si="0"/>
        <v>銅管_10㎜保温_12.7</v>
      </c>
      <c r="O9" s="31">
        <v>840</v>
      </c>
      <c r="Q9" s="30" t="s">
        <v>451</v>
      </c>
      <c r="R9" s="30" t="s">
        <v>483</v>
      </c>
      <c r="S9" s="30" t="s">
        <v>484</v>
      </c>
      <c r="T9" s="68">
        <v>9.1</v>
      </c>
      <c r="U9" s="68">
        <v>1.25</v>
      </c>
      <c r="V9" s="30" t="s">
        <v>113</v>
      </c>
      <c r="W9" s="30">
        <v>36</v>
      </c>
      <c r="X9" s="30" t="str">
        <f t="shared" si="1"/>
        <v>VE管_36</v>
      </c>
      <c r="Y9" s="59">
        <v>1385</v>
      </c>
    </row>
    <row r="10" spans="1:27">
      <c r="A10" s="57" t="s">
        <v>429</v>
      </c>
      <c r="B10" s="30">
        <v>25.4</v>
      </c>
      <c r="C10" s="30">
        <v>25.4</v>
      </c>
      <c r="D10" s="30">
        <v>25.4</v>
      </c>
      <c r="E10" s="30">
        <v>25.4</v>
      </c>
      <c r="F10" s="30">
        <v>15.88</v>
      </c>
      <c r="G10" s="30">
        <v>15.88</v>
      </c>
      <c r="H10" s="30">
        <v>15.88</v>
      </c>
      <c r="I10" s="30">
        <v>15.88</v>
      </c>
      <c r="J10" s="30">
        <v>15.88</v>
      </c>
      <c r="L10" s="30" t="s">
        <v>383</v>
      </c>
      <c r="M10" s="30">
        <v>15.88</v>
      </c>
      <c r="N10" s="30" t="str">
        <f t="shared" si="0"/>
        <v>銅管_10㎜保温_15.88</v>
      </c>
      <c r="O10" s="31">
        <v>1011</v>
      </c>
      <c r="Q10" s="30" t="s">
        <v>451</v>
      </c>
      <c r="R10" s="30" t="s">
        <v>485</v>
      </c>
      <c r="S10" s="30" t="s">
        <v>486</v>
      </c>
      <c r="T10" s="68">
        <v>12.6</v>
      </c>
      <c r="U10" s="68">
        <v>3.5</v>
      </c>
      <c r="V10" s="30" t="s">
        <v>113</v>
      </c>
      <c r="W10" s="30">
        <v>42</v>
      </c>
      <c r="X10" s="30" t="str">
        <f t="shared" si="1"/>
        <v>VE管_42</v>
      </c>
      <c r="Y10" s="59">
        <v>1810</v>
      </c>
    </row>
    <row r="11" spans="1:27">
      <c r="A11" s="57" t="s">
        <v>107</v>
      </c>
      <c r="B11" s="30">
        <v>28.58</v>
      </c>
      <c r="C11" s="30">
        <v>28.58</v>
      </c>
      <c r="D11" s="30">
        <v>28.58</v>
      </c>
      <c r="E11" s="30">
        <v>28.58</v>
      </c>
      <c r="F11" s="30">
        <v>19.05</v>
      </c>
      <c r="G11" s="30">
        <v>19.05</v>
      </c>
      <c r="H11" s="30">
        <v>19.05</v>
      </c>
      <c r="I11" s="30">
        <v>19.05</v>
      </c>
      <c r="J11" s="30">
        <v>19.05</v>
      </c>
      <c r="L11" s="30" t="s">
        <v>383</v>
      </c>
      <c r="M11" s="30">
        <v>19.05</v>
      </c>
      <c r="N11" s="30" t="str">
        <f>L11&amp;"_"&amp;M11</f>
        <v>銅管_10㎜保温_19.05</v>
      </c>
      <c r="O11" s="31">
        <v>1198</v>
      </c>
      <c r="Q11" s="30" t="s">
        <v>451</v>
      </c>
      <c r="R11" s="30" t="s">
        <v>487</v>
      </c>
      <c r="S11" s="30" t="s">
        <v>488</v>
      </c>
      <c r="T11" s="68">
        <v>19.600000000000001</v>
      </c>
      <c r="U11" s="68">
        <v>5.5</v>
      </c>
      <c r="V11" s="30" t="s">
        <v>113</v>
      </c>
      <c r="W11" s="30">
        <v>54</v>
      </c>
      <c r="X11" s="30" t="str">
        <f t="shared" si="1"/>
        <v>VE管_54</v>
      </c>
      <c r="Y11" s="59">
        <v>2827</v>
      </c>
    </row>
    <row r="12" spans="1:27">
      <c r="A12" s="57" t="s">
        <v>112</v>
      </c>
      <c r="B12" s="30">
        <v>31.75</v>
      </c>
      <c r="C12" s="30">
        <v>31.75</v>
      </c>
      <c r="D12" s="30">
        <v>31.75</v>
      </c>
      <c r="E12" s="30">
        <v>31.75</v>
      </c>
      <c r="F12" s="30">
        <v>22.22</v>
      </c>
      <c r="G12" s="30">
        <v>22.22</v>
      </c>
      <c r="H12" s="30">
        <v>22.22</v>
      </c>
      <c r="I12" s="30">
        <v>22.22</v>
      </c>
      <c r="J12" s="30">
        <v>22.22</v>
      </c>
      <c r="L12" s="30" t="s">
        <v>383</v>
      </c>
      <c r="M12" s="30">
        <v>22.22</v>
      </c>
      <c r="N12" s="30" t="str">
        <f t="shared" ref="N12:N21" si="2">L12&amp;"_"&amp;M12</f>
        <v>銅管_10㎜保温_22.22</v>
      </c>
      <c r="O12" s="31">
        <v>1400</v>
      </c>
      <c r="Q12" s="30" t="s">
        <v>451</v>
      </c>
      <c r="R12" s="30" t="s">
        <v>489</v>
      </c>
      <c r="S12" s="30" t="s">
        <v>490</v>
      </c>
      <c r="T12" s="68">
        <v>28.3</v>
      </c>
      <c r="U12" s="68">
        <v>8</v>
      </c>
      <c r="V12" s="30" t="s">
        <v>113</v>
      </c>
      <c r="W12" s="30">
        <v>70</v>
      </c>
      <c r="X12" s="30" t="str">
        <f t="shared" si="1"/>
        <v>VE管_70</v>
      </c>
      <c r="Y12" s="59">
        <v>4536</v>
      </c>
    </row>
    <row r="13" spans="1:27">
      <c r="A13" s="57" t="s">
        <v>113</v>
      </c>
      <c r="B13" s="30">
        <v>34.92</v>
      </c>
      <c r="C13" s="30">
        <v>34.92</v>
      </c>
      <c r="D13" s="30">
        <v>34.92</v>
      </c>
      <c r="E13" s="30">
        <v>34.92</v>
      </c>
      <c r="F13" s="30">
        <v>25.4</v>
      </c>
      <c r="G13" s="30">
        <v>25.4</v>
      </c>
      <c r="H13" s="30">
        <v>25.4</v>
      </c>
      <c r="I13" s="30">
        <v>25.4</v>
      </c>
      <c r="J13" s="30">
        <v>25.4</v>
      </c>
      <c r="L13" s="30" t="s">
        <v>383</v>
      </c>
      <c r="M13" s="30">
        <v>25.4</v>
      </c>
      <c r="N13" s="30" t="str">
        <f t="shared" si="2"/>
        <v>銅管_10㎜保温_25.4</v>
      </c>
      <c r="O13" s="31">
        <v>1619</v>
      </c>
      <c r="Q13" s="30" t="s">
        <v>451</v>
      </c>
      <c r="R13" s="30" t="s">
        <v>491</v>
      </c>
      <c r="S13" s="30" t="s">
        <v>492</v>
      </c>
      <c r="T13" s="68">
        <v>45.4</v>
      </c>
      <c r="U13" s="68">
        <v>14</v>
      </c>
      <c r="V13" s="30" t="s">
        <v>113</v>
      </c>
      <c r="W13" s="30">
        <v>82</v>
      </c>
      <c r="X13" s="30" t="str">
        <f t="shared" si="1"/>
        <v>VE管_82</v>
      </c>
      <c r="Y13" s="59">
        <v>6221</v>
      </c>
    </row>
    <row r="14" spans="1:27">
      <c r="A14" s="57" t="s">
        <v>114</v>
      </c>
      <c r="B14" s="30">
        <v>38.1</v>
      </c>
      <c r="C14" s="30">
        <v>38.1</v>
      </c>
      <c r="D14" s="30">
        <v>38.1</v>
      </c>
      <c r="E14" s="30">
        <v>38.1</v>
      </c>
      <c r="F14" s="30">
        <v>28.58</v>
      </c>
      <c r="G14" s="30">
        <v>28.58</v>
      </c>
      <c r="H14" s="30">
        <v>28.58</v>
      </c>
      <c r="I14" s="30">
        <v>28.58</v>
      </c>
      <c r="J14" s="30">
        <v>28.58</v>
      </c>
      <c r="L14" s="30" t="s">
        <v>383</v>
      </c>
      <c r="M14" s="30">
        <v>28.58</v>
      </c>
      <c r="N14" s="30" t="str">
        <f t="shared" si="2"/>
        <v>銅管_10㎜保温_28.58</v>
      </c>
      <c r="O14" s="31">
        <v>1854</v>
      </c>
      <c r="Q14" s="30" t="s">
        <v>451</v>
      </c>
      <c r="R14" s="30" t="s">
        <v>493</v>
      </c>
      <c r="S14" s="30" t="s">
        <v>494</v>
      </c>
      <c r="T14" s="68">
        <v>66.5</v>
      </c>
      <c r="U14" s="68">
        <v>22</v>
      </c>
      <c r="V14" s="30" t="s">
        <v>113</v>
      </c>
      <c r="W14" s="30">
        <v>100</v>
      </c>
      <c r="X14" s="30" t="str">
        <f t="shared" si="1"/>
        <v>VE管_100</v>
      </c>
      <c r="Y14" s="59">
        <v>10207</v>
      </c>
    </row>
    <row r="15" spans="1:27">
      <c r="A15" s="57" t="s">
        <v>115</v>
      </c>
      <c r="B15" s="57"/>
      <c r="C15" s="57"/>
      <c r="D15" s="57"/>
      <c r="E15" s="57"/>
      <c r="F15" s="30">
        <v>31.75</v>
      </c>
      <c r="G15" s="30">
        <v>31.75</v>
      </c>
      <c r="H15" s="30">
        <v>31.75</v>
      </c>
      <c r="I15" s="30">
        <v>31.75</v>
      </c>
      <c r="J15" s="30">
        <v>31.75</v>
      </c>
      <c r="L15" s="30" t="s">
        <v>383</v>
      </c>
      <c r="M15" s="30">
        <v>31.75</v>
      </c>
      <c r="N15" s="30" t="str">
        <f t="shared" si="2"/>
        <v>銅管_10㎜保温_31.75</v>
      </c>
      <c r="O15" s="31">
        <v>2103</v>
      </c>
      <c r="Q15" s="30" t="s">
        <v>451</v>
      </c>
      <c r="R15" s="30" t="s">
        <v>495</v>
      </c>
      <c r="S15" s="30" t="s">
        <v>496</v>
      </c>
      <c r="T15" s="68">
        <v>103.9</v>
      </c>
      <c r="U15" s="68">
        <v>38</v>
      </c>
      <c r="V15" s="30" t="s">
        <v>114</v>
      </c>
      <c r="W15" s="30">
        <v>14</v>
      </c>
      <c r="X15" s="30" t="str">
        <f t="shared" si="1"/>
        <v>CD管_14</v>
      </c>
      <c r="Y15" s="59">
        <v>284</v>
      </c>
    </row>
    <row r="16" spans="1:27">
      <c r="A16" s="57" t="s">
        <v>116</v>
      </c>
      <c r="B16" s="57"/>
      <c r="C16" s="57"/>
      <c r="D16" s="57"/>
      <c r="E16" s="57"/>
      <c r="F16" s="30">
        <v>34.92</v>
      </c>
      <c r="G16" s="30">
        <v>34.92</v>
      </c>
      <c r="H16" s="30">
        <v>34.92</v>
      </c>
      <c r="I16" s="30">
        <v>34.92</v>
      </c>
      <c r="J16" s="30">
        <v>34.92</v>
      </c>
      <c r="L16" s="30" t="s">
        <v>383</v>
      </c>
      <c r="M16" s="30">
        <v>34.92</v>
      </c>
      <c r="N16" s="30" t="str">
        <f t="shared" si="2"/>
        <v>銅管_10㎜保温_34.92</v>
      </c>
      <c r="O16" s="31">
        <v>2369</v>
      </c>
      <c r="Q16" s="30" t="s">
        <v>451</v>
      </c>
      <c r="R16" s="30" t="s">
        <v>497</v>
      </c>
      <c r="S16" s="30" t="s">
        <v>498</v>
      </c>
      <c r="T16" s="68">
        <v>153.9</v>
      </c>
      <c r="U16" s="68">
        <v>60</v>
      </c>
      <c r="V16" s="30" t="s">
        <v>114</v>
      </c>
      <c r="W16" s="30">
        <v>16</v>
      </c>
      <c r="X16" s="30" t="str">
        <f t="shared" si="1"/>
        <v>CD管_16</v>
      </c>
      <c r="Y16" s="59">
        <v>346</v>
      </c>
    </row>
    <row r="17" spans="1:25">
      <c r="A17" s="57" t="s">
        <v>117</v>
      </c>
      <c r="B17" s="57"/>
      <c r="C17" s="57"/>
      <c r="D17" s="57"/>
      <c r="E17" s="57"/>
      <c r="F17" s="30">
        <v>38.1</v>
      </c>
      <c r="G17" s="30">
        <v>38.1</v>
      </c>
      <c r="H17" s="30">
        <v>38.1</v>
      </c>
      <c r="I17" s="30">
        <v>38.1</v>
      </c>
      <c r="J17" s="30">
        <v>38.1</v>
      </c>
      <c r="L17" s="30" t="s">
        <v>383</v>
      </c>
      <c r="M17" s="30">
        <v>38.1</v>
      </c>
      <c r="N17" s="30" t="str">
        <f t="shared" si="2"/>
        <v>銅管_10㎜保温_38.1</v>
      </c>
      <c r="O17" s="31">
        <v>2651</v>
      </c>
      <c r="Q17" s="30" t="s">
        <v>451</v>
      </c>
      <c r="R17" s="30" t="s">
        <v>499</v>
      </c>
      <c r="S17" s="30" t="s">
        <v>500</v>
      </c>
      <c r="T17" s="68">
        <v>227</v>
      </c>
      <c r="U17" s="68">
        <v>100</v>
      </c>
      <c r="V17" s="30" t="s">
        <v>114</v>
      </c>
      <c r="W17" s="30">
        <v>22</v>
      </c>
      <c r="X17" s="30" t="str">
        <f t="shared" si="1"/>
        <v>CD管_22</v>
      </c>
      <c r="Y17" s="59">
        <v>594</v>
      </c>
    </row>
    <row r="18" spans="1:25">
      <c r="A18" s="57" t="s">
        <v>339</v>
      </c>
      <c r="B18" s="57"/>
      <c r="C18" s="57"/>
      <c r="D18" s="57"/>
      <c r="E18" s="57"/>
      <c r="F18" s="30">
        <v>41.28</v>
      </c>
      <c r="G18" s="30">
        <v>41.28</v>
      </c>
      <c r="H18" s="30">
        <v>41.28</v>
      </c>
      <c r="I18" s="30">
        <v>41.28</v>
      </c>
      <c r="J18" s="30">
        <v>41.28</v>
      </c>
      <c r="L18" s="30" t="s">
        <v>383</v>
      </c>
      <c r="M18" s="30">
        <v>41.28</v>
      </c>
      <c r="N18" s="30" t="str">
        <f t="shared" si="2"/>
        <v>銅管_10㎜保温_41.28</v>
      </c>
      <c r="O18" s="31">
        <v>2949</v>
      </c>
      <c r="Q18" s="30" t="s">
        <v>451</v>
      </c>
      <c r="R18" s="30" t="s">
        <v>501</v>
      </c>
      <c r="S18" s="30" t="s">
        <v>502</v>
      </c>
      <c r="T18" s="68">
        <v>346.4</v>
      </c>
      <c r="U18" s="68">
        <v>150</v>
      </c>
      <c r="V18" s="30" t="s">
        <v>114</v>
      </c>
      <c r="W18" s="30">
        <v>28</v>
      </c>
      <c r="X18" s="30" t="str">
        <f t="shared" si="1"/>
        <v>CD管_28</v>
      </c>
      <c r="Y18" s="59">
        <v>908</v>
      </c>
    </row>
    <row r="19" spans="1:25">
      <c r="A19" s="57" t="s">
        <v>119</v>
      </c>
      <c r="B19" s="57"/>
      <c r="C19" s="57"/>
      <c r="D19" s="57"/>
      <c r="E19" s="57"/>
      <c r="F19" s="30">
        <v>44.45</v>
      </c>
      <c r="G19" s="30">
        <v>44.45</v>
      </c>
      <c r="H19" s="30">
        <v>44.45</v>
      </c>
      <c r="I19" s="30">
        <v>44.45</v>
      </c>
      <c r="J19" s="30">
        <v>44.45</v>
      </c>
      <c r="L19" s="30" t="s">
        <v>383</v>
      </c>
      <c r="M19" s="30">
        <v>44.45</v>
      </c>
      <c r="N19" s="30" t="str">
        <f t="shared" si="2"/>
        <v>銅管_10㎜保温_44.45</v>
      </c>
      <c r="O19" s="31">
        <v>3262</v>
      </c>
      <c r="Q19" s="30" t="s">
        <v>451</v>
      </c>
      <c r="R19" s="30" t="s">
        <v>503</v>
      </c>
      <c r="S19" s="30" t="s">
        <v>504</v>
      </c>
      <c r="T19" s="68">
        <v>415.5</v>
      </c>
      <c r="U19" s="68">
        <v>200</v>
      </c>
      <c r="V19" s="30" t="s">
        <v>114</v>
      </c>
      <c r="W19" s="30">
        <v>36</v>
      </c>
      <c r="X19" s="30" t="str">
        <f t="shared" si="1"/>
        <v>CD管_36</v>
      </c>
      <c r="Y19" s="59">
        <v>1385</v>
      </c>
    </row>
    <row r="20" spans="1:25">
      <c r="A20" s="57" t="s">
        <v>341</v>
      </c>
      <c r="B20" s="57"/>
      <c r="C20" s="57"/>
      <c r="D20" s="57"/>
      <c r="E20" s="57"/>
      <c r="F20" s="30">
        <v>50.8</v>
      </c>
      <c r="G20" s="30">
        <v>50.8</v>
      </c>
      <c r="H20" s="30">
        <v>50.8</v>
      </c>
      <c r="I20" s="30">
        <v>50.8</v>
      </c>
      <c r="J20" s="30">
        <v>50.8</v>
      </c>
      <c r="L20" s="30" t="s">
        <v>383</v>
      </c>
      <c r="M20" s="30">
        <v>50.8</v>
      </c>
      <c r="N20" s="30" t="str">
        <f t="shared" si="2"/>
        <v>銅管_10㎜保温_50.8</v>
      </c>
      <c r="O20" s="31">
        <v>3937</v>
      </c>
      <c r="Q20" s="30" t="s">
        <v>451</v>
      </c>
      <c r="R20" s="30" t="s">
        <v>505</v>
      </c>
      <c r="S20" s="30" t="s">
        <v>506</v>
      </c>
      <c r="T20" s="68">
        <v>530.9</v>
      </c>
      <c r="U20" s="68">
        <v>250</v>
      </c>
      <c r="V20" s="30" t="s">
        <v>114</v>
      </c>
      <c r="W20" s="30">
        <v>42</v>
      </c>
      <c r="X20" s="30" t="str">
        <f t="shared" si="1"/>
        <v>CD管_42</v>
      </c>
      <c r="Y20" s="59">
        <v>1810</v>
      </c>
    </row>
    <row r="21" spans="1:25">
      <c r="A21" s="57" t="s">
        <v>121</v>
      </c>
      <c r="B21" s="57"/>
      <c r="C21" s="57"/>
      <c r="D21" s="57"/>
      <c r="E21" s="57"/>
      <c r="F21" s="30">
        <v>53.98</v>
      </c>
      <c r="G21" s="30">
        <v>53.98</v>
      </c>
      <c r="H21" s="30">
        <v>53.98</v>
      </c>
      <c r="I21" s="30">
        <v>53.98</v>
      </c>
      <c r="J21" s="30">
        <v>53.98</v>
      </c>
      <c r="L21" s="30" t="s">
        <v>383</v>
      </c>
      <c r="M21" s="30">
        <v>53.98</v>
      </c>
      <c r="N21" s="30" t="str">
        <f t="shared" si="2"/>
        <v>銅管_10㎜保温_53.98</v>
      </c>
      <c r="O21" s="31">
        <v>4299</v>
      </c>
      <c r="Q21" s="30" t="s">
        <v>451</v>
      </c>
      <c r="R21" s="30" t="s">
        <v>507</v>
      </c>
      <c r="S21" s="30" t="s">
        <v>508</v>
      </c>
      <c r="T21" s="68">
        <v>660.5</v>
      </c>
      <c r="U21" s="68">
        <v>325</v>
      </c>
      <c r="V21" s="30" t="s">
        <v>114</v>
      </c>
      <c r="W21" s="30">
        <v>54</v>
      </c>
      <c r="X21" s="30" t="str">
        <f t="shared" si="1"/>
        <v>CD管_54</v>
      </c>
      <c r="Y21" s="59">
        <v>2827</v>
      </c>
    </row>
    <row r="22" spans="1:25">
      <c r="A22" s="57" t="s">
        <v>153</v>
      </c>
      <c r="B22" s="57"/>
      <c r="C22" s="57"/>
      <c r="D22" s="57"/>
      <c r="E22" s="57"/>
      <c r="F22" s="57"/>
      <c r="G22" s="57"/>
      <c r="H22" s="57"/>
      <c r="I22" s="57"/>
      <c r="J22" s="57"/>
      <c r="L22" s="30" t="s">
        <v>384</v>
      </c>
      <c r="M22" s="30">
        <v>6.35</v>
      </c>
      <c r="N22" s="30" t="str">
        <f t="shared" ref="N22:N36" si="3">L22&amp;"_"&amp;M22</f>
        <v>銅管_20㎜保温_6.35</v>
      </c>
      <c r="O22" s="31">
        <v>1687</v>
      </c>
      <c r="Q22" s="30" t="s">
        <v>469</v>
      </c>
      <c r="R22" s="30" t="s">
        <v>509</v>
      </c>
      <c r="S22" s="30" t="s">
        <v>510</v>
      </c>
      <c r="T22" s="68">
        <v>51</v>
      </c>
      <c r="U22" s="68">
        <v>4.0199999999999996</v>
      </c>
      <c r="V22" s="30" t="s">
        <v>115</v>
      </c>
      <c r="W22" s="30">
        <v>14</v>
      </c>
      <c r="X22" s="30" t="str">
        <f t="shared" si="1"/>
        <v>PF管_14</v>
      </c>
      <c r="Y22" s="59">
        <v>363</v>
      </c>
    </row>
    <row r="23" spans="1:25">
      <c r="A23" s="57" t="s">
        <v>154</v>
      </c>
      <c r="B23" s="57"/>
      <c r="C23" s="57"/>
      <c r="D23" s="57"/>
      <c r="E23" s="57"/>
      <c r="F23" s="57"/>
      <c r="G23" s="57"/>
      <c r="H23" s="57"/>
      <c r="I23" s="57"/>
      <c r="J23" s="57"/>
      <c r="L23" s="30" t="s">
        <v>384</v>
      </c>
      <c r="M23" s="30">
        <v>9.52</v>
      </c>
      <c r="N23" s="30" t="str">
        <f t="shared" si="3"/>
        <v>銅管_20㎜保温_9.52</v>
      </c>
      <c r="O23" s="31">
        <v>1926</v>
      </c>
      <c r="Q23" s="30" t="s">
        <v>469</v>
      </c>
      <c r="R23" s="30" t="s">
        <v>511</v>
      </c>
      <c r="S23" s="30" t="s">
        <v>512</v>
      </c>
      <c r="T23" s="68">
        <v>73</v>
      </c>
      <c r="U23" s="68">
        <v>6.0299999999999994</v>
      </c>
      <c r="V23" s="30" t="s">
        <v>115</v>
      </c>
      <c r="W23" s="30">
        <v>16</v>
      </c>
      <c r="X23" s="30" t="str">
        <f t="shared" si="1"/>
        <v>PF管_16</v>
      </c>
      <c r="Y23" s="59">
        <v>415</v>
      </c>
    </row>
    <row r="24" spans="1:25">
      <c r="A24" s="57" t="s">
        <v>155</v>
      </c>
      <c r="B24" s="57"/>
      <c r="C24" s="57"/>
      <c r="D24" s="57"/>
      <c r="E24" s="57"/>
      <c r="F24" s="57"/>
      <c r="G24" s="57"/>
      <c r="H24" s="57"/>
      <c r="I24" s="57"/>
      <c r="J24" s="57"/>
      <c r="L24" s="30" t="s">
        <v>384</v>
      </c>
      <c r="M24" s="30">
        <v>12.7</v>
      </c>
      <c r="N24" s="30" t="str">
        <f t="shared" si="3"/>
        <v>銅管_20㎜保温_12.7</v>
      </c>
      <c r="O24" s="31">
        <v>2181</v>
      </c>
      <c r="Q24" s="30" t="s">
        <v>469</v>
      </c>
      <c r="R24" s="30" t="s">
        <v>513</v>
      </c>
      <c r="S24" s="30" t="s">
        <v>514</v>
      </c>
      <c r="T24" s="68">
        <v>91</v>
      </c>
      <c r="U24" s="68">
        <v>8.0399999999999991</v>
      </c>
      <c r="V24" s="30" t="s">
        <v>115</v>
      </c>
      <c r="W24" s="30">
        <v>22</v>
      </c>
      <c r="X24" s="30" t="str">
        <f t="shared" si="1"/>
        <v>PF管_22</v>
      </c>
      <c r="Y24" s="59">
        <v>731</v>
      </c>
    </row>
    <row r="25" spans="1:25">
      <c r="A25" s="57" t="s">
        <v>16</v>
      </c>
      <c r="B25" s="57"/>
      <c r="C25" s="57"/>
      <c r="D25" s="57"/>
      <c r="E25" s="57"/>
      <c r="F25" s="57"/>
      <c r="G25" s="57"/>
      <c r="H25" s="57"/>
      <c r="I25" s="57"/>
      <c r="J25" s="57"/>
      <c r="L25" s="30" t="s">
        <v>384</v>
      </c>
      <c r="M25" s="30">
        <v>15.88</v>
      </c>
      <c r="N25" s="30" t="str">
        <f t="shared" si="3"/>
        <v>銅管_20㎜保温_15.88</v>
      </c>
      <c r="O25" s="31">
        <v>2452</v>
      </c>
      <c r="Q25" s="30" t="s">
        <v>469</v>
      </c>
      <c r="R25" s="30" t="s">
        <v>515</v>
      </c>
      <c r="S25" s="30" t="s">
        <v>516</v>
      </c>
      <c r="T25" s="68">
        <v>60</v>
      </c>
      <c r="U25" s="68">
        <v>6.29</v>
      </c>
      <c r="V25" s="30" t="s">
        <v>115</v>
      </c>
      <c r="W25" s="30">
        <v>28</v>
      </c>
      <c r="X25" s="30" t="str">
        <f t="shared" si="1"/>
        <v>PF管_28</v>
      </c>
      <c r="Y25" s="59">
        <v>1046</v>
      </c>
    </row>
    <row r="26" spans="1:25">
      <c r="A26" s="57" t="s">
        <v>156</v>
      </c>
      <c r="B26" s="57"/>
      <c r="C26" s="57"/>
      <c r="D26" s="57"/>
      <c r="E26" s="57"/>
      <c r="F26" s="57"/>
      <c r="G26" s="57"/>
      <c r="H26" s="57"/>
      <c r="I26" s="57"/>
      <c r="J26" s="57"/>
      <c r="L26" s="30" t="s">
        <v>384</v>
      </c>
      <c r="M26" s="30">
        <v>19.05</v>
      </c>
      <c r="N26" s="30" t="str">
        <f t="shared" si="3"/>
        <v>銅管_20㎜保温_19.05</v>
      </c>
      <c r="O26" s="31">
        <v>2739</v>
      </c>
      <c r="Q26" s="30" t="s">
        <v>469</v>
      </c>
      <c r="R26" s="30" t="s">
        <v>517</v>
      </c>
      <c r="S26" s="30" t="s">
        <v>518</v>
      </c>
      <c r="T26" s="68">
        <v>84</v>
      </c>
      <c r="U26" s="68">
        <v>9.43</v>
      </c>
      <c r="V26" s="30" t="s">
        <v>115</v>
      </c>
      <c r="W26" s="30">
        <v>36</v>
      </c>
      <c r="X26" s="30" t="str">
        <f t="shared" si="1"/>
        <v>PF管_36</v>
      </c>
      <c r="Y26" s="59">
        <v>1626</v>
      </c>
    </row>
    <row r="27" spans="1:25">
      <c r="A27" s="57" t="s">
        <v>157</v>
      </c>
      <c r="B27" s="57"/>
      <c r="C27" s="57"/>
      <c r="D27" s="57"/>
      <c r="E27" s="57"/>
      <c r="F27" s="57"/>
      <c r="G27" s="57"/>
      <c r="H27" s="57"/>
      <c r="I27" s="57"/>
      <c r="J27" s="57"/>
      <c r="L27" s="30" t="s">
        <v>384</v>
      </c>
      <c r="M27" s="30">
        <v>22.22</v>
      </c>
      <c r="N27" s="30" t="str">
        <f t="shared" si="3"/>
        <v>銅管_20㎜保温_22.22</v>
      </c>
      <c r="O27" s="31">
        <v>3041</v>
      </c>
      <c r="Q27" s="30" t="s">
        <v>469</v>
      </c>
      <c r="R27" s="30" t="s">
        <v>519</v>
      </c>
      <c r="S27" s="30" t="s">
        <v>520</v>
      </c>
      <c r="T27" s="68">
        <v>107</v>
      </c>
      <c r="U27" s="68">
        <v>12.57</v>
      </c>
      <c r="V27" s="30" t="s">
        <v>115</v>
      </c>
      <c r="W27" s="30">
        <v>42</v>
      </c>
      <c r="X27" s="30" t="str">
        <f t="shared" si="1"/>
        <v>PF管_42</v>
      </c>
      <c r="Y27" s="59">
        <v>2124</v>
      </c>
    </row>
    <row r="28" spans="1:25">
      <c r="A28" s="57" t="s">
        <v>158</v>
      </c>
      <c r="B28" s="57"/>
      <c r="C28" s="30" t="s">
        <v>434</v>
      </c>
      <c r="D28" s="57" t="s">
        <v>437</v>
      </c>
      <c r="E28" s="57"/>
      <c r="F28" s="57"/>
      <c r="G28" s="57"/>
      <c r="H28" s="57"/>
      <c r="I28" s="57"/>
      <c r="J28" s="57"/>
      <c r="L28" s="30" t="s">
        <v>384</v>
      </c>
      <c r="M28" s="30">
        <v>25.4</v>
      </c>
      <c r="N28" s="30" t="str">
        <f t="shared" si="3"/>
        <v>銅管_20㎜保温_25.4</v>
      </c>
      <c r="O28" s="31">
        <v>3359</v>
      </c>
      <c r="Q28" s="30" t="s">
        <v>469</v>
      </c>
      <c r="R28" s="30" t="s">
        <v>521</v>
      </c>
      <c r="S28" s="30" t="s">
        <v>522</v>
      </c>
      <c r="T28" s="68">
        <v>83</v>
      </c>
      <c r="U28" s="68">
        <v>10.62</v>
      </c>
      <c r="V28" s="30" t="s">
        <v>115</v>
      </c>
      <c r="W28" s="30">
        <v>54</v>
      </c>
      <c r="X28" s="30" t="str">
        <f t="shared" si="1"/>
        <v>PF管_54</v>
      </c>
      <c r="Y28" s="59">
        <v>3267</v>
      </c>
    </row>
    <row r="29" spans="1:25">
      <c r="A29" s="57" t="s">
        <v>159</v>
      </c>
      <c r="B29" s="57"/>
      <c r="C29" s="30" t="s">
        <v>435</v>
      </c>
      <c r="D29" s="57" t="s">
        <v>438</v>
      </c>
      <c r="E29" s="57"/>
      <c r="F29" s="57"/>
      <c r="G29" s="57"/>
      <c r="H29" s="57"/>
      <c r="I29" s="57"/>
      <c r="J29" s="57"/>
      <c r="L29" s="30" t="s">
        <v>384</v>
      </c>
      <c r="M29" s="30">
        <v>28.58</v>
      </c>
      <c r="N29" s="30" t="str">
        <f t="shared" si="3"/>
        <v>銅管_20㎜保温_28.58</v>
      </c>
      <c r="O29" s="31">
        <v>3694</v>
      </c>
      <c r="Q29" s="30" t="s">
        <v>469</v>
      </c>
      <c r="R29" s="30" t="s">
        <v>523</v>
      </c>
      <c r="S29" s="30" t="s">
        <v>524</v>
      </c>
      <c r="T29" s="68">
        <v>117</v>
      </c>
      <c r="U29" s="68">
        <v>15.93</v>
      </c>
      <c r="V29" s="30" t="s">
        <v>123</v>
      </c>
      <c r="W29" s="30">
        <v>20</v>
      </c>
      <c r="X29" s="30" t="str">
        <f t="shared" si="1"/>
        <v>FEP_20</v>
      </c>
      <c r="Y29" s="59">
        <v>731</v>
      </c>
    </row>
    <row r="30" spans="1:25">
      <c r="A30" s="57" t="s">
        <v>15</v>
      </c>
      <c r="B30" s="57"/>
      <c r="C30" s="30" t="s">
        <v>436</v>
      </c>
      <c r="D30" s="57"/>
      <c r="E30" s="57"/>
      <c r="F30" s="57"/>
      <c r="G30" s="57"/>
      <c r="H30" s="57"/>
      <c r="I30" s="57"/>
      <c r="J30" s="57"/>
      <c r="L30" s="30" t="s">
        <v>384</v>
      </c>
      <c r="M30" s="30">
        <v>31.75</v>
      </c>
      <c r="N30" s="30" t="str">
        <f t="shared" si="3"/>
        <v>銅管_20㎜保温_31.75</v>
      </c>
      <c r="O30" s="31">
        <v>4043</v>
      </c>
      <c r="Q30" s="30" t="s">
        <v>448</v>
      </c>
      <c r="R30" s="30" t="s">
        <v>525</v>
      </c>
      <c r="S30" s="30" t="s">
        <v>526</v>
      </c>
      <c r="T30" s="68">
        <v>50.3</v>
      </c>
      <c r="U30" s="68">
        <v>5.5</v>
      </c>
      <c r="V30" s="30" t="s">
        <v>116</v>
      </c>
      <c r="W30" s="30">
        <v>30</v>
      </c>
      <c r="X30" s="30" t="str">
        <f t="shared" si="1"/>
        <v>FEP_30</v>
      </c>
      <c r="Y30" s="59">
        <v>1320</v>
      </c>
    </row>
    <row r="31" spans="1:25">
      <c r="A31" s="57" t="s">
        <v>160</v>
      </c>
      <c r="B31" s="57"/>
      <c r="C31" s="57"/>
      <c r="D31" s="57"/>
      <c r="E31" s="57"/>
      <c r="F31" s="57"/>
      <c r="G31" s="57"/>
      <c r="H31" s="57"/>
      <c r="I31" s="57"/>
      <c r="J31" s="57"/>
      <c r="L31" s="30" t="s">
        <v>384</v>
      </c>
      <c r="M31" s="30">
        <v>34.92</v>
      </c>
      <c r="N31" s="30" t="str">
        <f t="shared" si="3"/>
        <v>銅管_20㎜保温_34.92</v>
      </c>
      <c r="O31" s="31">
        <v>4408</v>
      </c>
      <c r="Q31" s="30" t="s">
        <v>448</v>
      </c>
      <c r="R31" s="30" t="s">
        <v>527</v>
      </c>
      <c r="S31" s="30" t="s">
        <v>528</v>
      </c>
      <c r="T31" s="68">
        <v>58.1</v>
      </c>
      <c r="U31" s="68">
        <v>8</v>
      </c>
      <c r="V31" s="30" t="s">
        <v>116</v>
      </c>
      <c r="W31" s="30">
        <v>40</v>
      </c>
      <c r="X31" s="30" t="str">
        <f t="shared" si="1"/>
        <v>FEP_40</v>
      </c>
      <c r="Y31" s="59">
        <v>2376</v>
      </c>
    </row>
    <row r="32" spans="1:25">
      <c r="A32" s="57" t="s">
        <v>161</v>
      </c>
      <c r="B32" s="57"/>
      <c r="C32" s="57"/>
      <c r="D32" s="57"/>
      <c r="E32" s="57"/>
      <c r="F32" s="57"/>
      <c r="G32" s="57"/>
      <c r="H32" s="57"/>
      <c r="I32" s="57"/>
      <c r="J32" s="57"/>
      <c r="L32" s="30" t="s">
        <v>384</v>
      </c>
      <c r="M32" s="30">
        <v>38.1</v>
      </c>
      <c r="N32" s="30" t="str">
        <f t="shared" si="3"/>
        <v>銅管_20㎜保温_38.1</v>
      </c>
      <c r="O32" s="31">
        <v>4791</v>
      </c>
      <c r="Q32" s="30" t="s">
        <v>448</v>
      </c>
      <c r="R32" s="30" t="s">
        <v>529</v>
      </c>
      <c r="S32" s="30" t="s">
        <v>530</v>
      </c>
      <c r="T32" s="68">
        <v>69.400000000000006</v>
      </c>
      <c r="U32" s="68">
        <v>14</v>
      </c>
      <c r="V32" s="30" t="s">
        <v>116</v>
      </c>
      <c r="W32" s="30">
        <v>50</v>
      </c>
      <c r="X32" s="30" t="str">
        <f t="shared" si="1"/>
        <v>FEP_50</v>
      </c>
      <c r="Y32" s="59">
        <v>3421</v>
      </c>
    </row>
    <row r="33" spans="1:25">
      <c r="A33" s="57" t="s">
        <v>162</v>
      </c>
      <c r="B33" s="57"/>
      <c r="C33" s="57"/>
      <c r="D33" s="57"/>
      <c r="E33" s="57"/>
      <c r="F33" s="57"/>
      <c r="G33" s="57"/>
      <c r="H33" s="57"/>
      <c r="I33" s="57"/>
      <c r="J33" s="57"/>
      <c r="L33" s="30" t="s">
        <v>384</v>
      </c>
      <c r="M33" s="30">
        <v>41.28</v>
      </c>
      <c r="N33" s="30" t="str">
        <f t="shared" si="3"/>
        <v>銅管_20㎜保温_41.28</v>
      </c>
      <c r="O33" s="31">
        <v>5189</v>
      </c>
      <c r="Q33" s="30" t="s">
        <v>448</v>
      </c>
      <c r="R33" s="30" t="s">
        <v>531</v>
      </c>
      <c r="S33" s="30" t="s">
        <v>532</v>
      </c>
      <c r="T33" s="68">
        <v>95</v>
      </c>
      <c r="U33" s="68">
        <v>22</v>
      </c>
      <c r="V33" s="30" t="s">
        <v>116</v>
      </c>
      <c r="W33" s="30">
        <v>65</v>
      </c>
      <c r="X33" s="30" t="str">
        <f t="shared" si="1"/>
        <v>FEP_65</v>
      </c>
      <c r="Y33" s="59">
        <v>5809</v>
      </c>
    </row>
    <row r="34" spans="1:25">
      <c r="A34" s="57" t="s">
        <v>164</v>
      </c>
      <c r="B34" s="57"/>
      <c r="C34" s="57"/>
      <c r="D34" s="57"/>
      <c r="E34" s="57"/>
      <c r="F34" s="57"/>
      <c r="G34" s="57"/>
      <c r="H34" s="57"/>
      <c r="I34" s="57"/>
      <c r="J34" s="57"/>
      <c r="L34" s="30" t="s">
        <v>384</v>
      </c>
      <c r="M34" s="30">
        <v>44.45</v>
      </c>
      <c r="N34" s="30" t="str">
        <f t="shared" si="3"/>
        <v>銅管_20㎜保温_44.45</v>
      </c>
      <c r="O34" s="31">
        <v>5601</v>
      </c>
      <c r="Q34" s="30" t="s">
        <v>448</v>
      </c>
      <c r="R34" s="30" t="s">
        <v>533</v>
      </c>
      <c r="S34" s="30" t="s">
        <v>534</v>
      </c>
      <c r="T34" s="68">
        <v>132.69999999999999</v>
      </c>
      <c r="U34" s="68">
        <v>38</v>
      </c>
      <c r="V34" s="30" t="s">
        <v>116</v>
      </c>
      <c r="W34" s="30">
        <v>80</v>
      </c>
      <c r="X34" s="30" t="str">
        <f t="shared" si="1"/>
        <v>FEP_80</v>
      </c>
      <c r="Y34" s="59">
        <v>8332</v>
      </c>
    </row>
    <row r="35" spans="1:25">
      <c r="A35" s="57" t="s">
        <v>166</v>
      </c>
      <c r="B35" s="57"/>
      <c r="C35" s="57"/>
      <c r="D35" s="57"/>
      <c r="E35" s="57"/>
      <c r="F35" s="57"/>
      <c r="G35" s="57"/>
      <c r="H35" s="57"/>
      <c r="I35" s="57"/>
      <c r="J35" s="57"/>
      <c r="L35" s="30" t="s">
        <v>384</v>
      </c>
      <c r="M35" s="30">
        <v>50.8</v>
      </c>
      <c r="N35" s="30" t="str">
        <f t="shared" si="3"/>
        <v>銅管_20㎜保温_50.8</v>
      </c>
      <c r="O35" s="31">
        <v>6475</v>
      </c>
      <c r="Q35" s="30" t="s">
        <v>448</v>
      </c>
      <c r="R35" s="30" t="s">
        <v>535</v>
      </c>
      <c r="S35" s="30" t="s">
        <v>536</v>
      </c>
      <c r="T35" s="68">
        <v>176.7</v>
      </c>
      <c r="U35" s="68">
        <v>60</v>
      </c>
      <c r="V35" s="30" t="s">
        <v>124</v>
      </c>
      <c r="W35" s="30">
        <v>22</v>
      </c>
      <c r="X35" s="30" t="str">
        <f t="shared" si="1"/>
        <v>MFX_22</v>
      </c>
      <c r="Y35" s="59">
        <v>731</v>
      </c>
    </row>
    <row r="36" spans="1:25">
      <c r="A36" s="57" t="s">
        <v>167</v>
      </c>
      <c r="B36" s="57"/>
      <c r="C36" s="57"/>
      <c r="D36" s="57"/>
      <c r="E36" s="57"/>
      <c r="F36" s="57"/>
      <c r="G36" s="57"/>
      <c r="H36" s="57"/>
      <c r="I36" s="57"/>
      <c r="J36" s="57"/>
      <c r="L36" s="30" t="s">
        <v>384</v>
      </c>
      <c r="M36" s="30">
        <v>53.98</v>
      </c>
      <c r="N36" s="30" t="str">
        <f t="shared" si="3"/>
        <v>銅管_20㎜保温_53.98</v>
      </c>
      <c r="O36" s="31">
        <v>6937</v>
      </c>
      <c r="Q36" s="30" t="s">
        <v>448</v>
      </c>
      <c r="R36" s="30" t="s">
        <v>537</v>
      </c>
      <c r="S36" s="30" t="s">
        <v>538</v>
      </c>
      <c r="T36" s="68">
        <v>283.5</v>
      </c>
      <c r="U36" s="68">
        <v>100</v>
      </c>
      <c r="V36" s="30" t="s">
        <v>117</v>
      </c>
      <c r="W36" s="30">
        <v>28</v>
      </c>
      <c r="X36" s="30" t="str">
        <f t="shared" si="1"/>
        <v>MFX_28</v>
      </c>
      <c r="Y36" s="59">
        <v>1046</v>
      </c>
    </row>
    <row r="37" spans="1:25">
      <c r="A37" s="57" t="s">
        <v>168</v>
      </c>
      <c r="B37" s="57"/>
      <c r="C37" s="57"/>
      <c r="D37" s="57"/>
      <c r="E37" s="57"/>
      <c r="F37" s="57"/>
      <c r="G37" s="57"/>
      <c r="H37" s="57"/>
      <c r="I37" s="57"/>
      <c r="J37" s="57"/>
      <c r="L37" s="30" t="s">
        <v>103</v>
      </c>
      <c r="M37" s="30">
        <v>6.35</v>
      </c>
      <c r="N37" s="30" t="str">
        <f t="shared" ref="N37:N61" si="4">L37&amp;"_"&amp;M37</f>
        <v>アルミニウム管_8㎜保温_6.35</v>
      </c>
      <c r="O37" s="31">
        <v>392</v>
      </c>
      <c r="Q37" s="30" t="s">
        <v>448</v>
      </c>
      <c r="R37" s="30" t="s">
        <v>539</v>
      </c>
      <c r="S37" s="30" t="s">
        <v>540</v>
      </c>
      <c r="T37" s="68">
        <v>380.1</v>
      </c>
      <c r="U37" s="68">
        <v>150</v>
      </c>
      <c r="V37" s="30" t="s">
        <v>117</v>
      </c>
      <c r="W37" s="30">
        <v>36</v>
      </c>
      <c r="X37" s="30" t="str">
        <f t="shared" si="1"/>
        <v>MFX_36</v>
      </c>
      <c r="Y37" s="59">
        <v>1626</v>
      </c>
    </row>
    <row r="38" spans="1:25">
      <c r="A38" s="57" t="s">
        <v>169</v>
      </c>
      <c r="B38" s="57"/>
      <c r="C38" s="57"/>
      <c r="D38" s="57"/>
      <c r="E38" s="57"/>
      <c r="F38" s="57"/>
      <c r="G38" s="57"/>
      <c r="H38" s="57"/>
      <c r="I38" s="57"/>
      <c r="J38" s="57"/>
      <c r="L38" s="30" t="s">
        <v>103</v>
      </c>
      <c r="M38" s="30">
        <v>9.52</v>
      </c>
      <c r="N38" s="30" t="str">
        <f t="shared" si="4"/>
        <v>アルミニウム管_8㎜保温_9.52</v>
      </c>
      <c r="O38" s="31">
        <v>512</v>
      </c>
      <c r="Q38" s="30" t="s">
        <v>448</v>
      </c>
      <c r="R38" s="30" t="s">
        <v>541</v>
      </c>
      <c r="S38" s="30" t="s">
        <v>542</v>
      </c>
      <c r="T38" s="68">
        <v>530.9</v>
      </c>
      <c r="U38" s="68">
        <v>200</v>
      </c>
      <c r="V38" s="30" t="s">
        <v>117</v>
      </c>
      <c r="W38" s="30">
        <v>42</v>
      </c>
      <c r="X38" s="30" t="str">
        <f t="shared" si="1"/>
        <v>MFX_42</v>
      </c>
      <c r="Y38" s="59">
        <v>2124</v>
      </c>
    </row>
    <row r="39" spans="1:25">
      <c r="A39" s="57" t="s">
        <v>170</v>
      </c>
      <c r="B39" s="57"/>
      <c r="C39" s="57"/>
      <c r="D39" s="57"/>
      <c r="E39" s="57"/>
      <c r="F39" s="57"/>
      <c r="G39" s="57"/>
      <c r="H39" s="57"/>
      <c r="I39" s="57"/>
      <c r="J39" s="57"/>
      <c r="L39" s="30" t="s">
        <v>103</v>
      </c>
      <c r="M39" s="30">
        <v>12.7</v>
      </c>
      <c r="N39" s="30" t="str">
        <f t="shared" si="4"/>
        <v>アルミニウム管_8㎜保温_12.7</v>
      </c>
      <c r="O39" s="31">
        <v>647</v>
      </c>
      <c r="Q39" s="30" t="s">
        <v>448</v>
      </c>
      <c r="R39" s="30" t="s">
        <v>543</v>
      </c>
      <c r="S39" s="30" t="s">
        <v>544</v>
      </c>
      <c r="T39" s="68">
        <v>615.79999999999995</v>
      </c>
      <c r="U39" s="68">
        <v>250</v>
      </c>
      <c r="V39" s="30" t="s">
        <v>117</v>
      </c>
      <c r="W39" s="30">
        <v>54</v>
      </c>
      <c r="X39" s="30" t="str">
        <f t="shared" si="1"/>
        <v>MFX_54</v>
      </c>
      <c r="Y39" s="59">
        <v>3267</v>
      </c>
    </row>
    <row r="40" spans="1:25">
      <c r="A40" s="57" t="s">
        <v>171</v>
      </c>
      <c r="B40" s="57"/>
      <c r="C40" s="57"/>
      <c r="D40" s="57"/>
      <c r="E40" s="57"/>
      <c r="F40" s="57"/>
      <c r="G40" s="57"/>
      <c r="H40" s="57"/>
      <c r="I40" s="57"/>
      <c r="J40" s="57"/>
      <c r="L40" s="30" t="s">
        <v>104</v>
      </c>
      <c r="M40" s="30">
        <v>6.35</v>
      </c>
      <c r="N40" s="30" t="str">
        <f t="shared" si="4"/>
        <v>アルミニウム管_10㎜保温_6.35</v>
      </c>
      <c r="O40" s="31">
        <v>545</v>
      </c>
      <c r="Q40" s="30" t="s">
        <v>448</v>
      </c>
      <c r="R40" s="30" t="s">
        <v>545</v>
      </c>
      <c r="S40" s="30" t="s">
        <v>546</v>
      </c>
      <c r="T40" s="68">
        <v>754.8</v>
      </c>
      <c r="U40" s="68">
        <v>325</v>
      </c>
      <c r="V40" s="30" t="s">
        <v>117</v>
      </c>
      <c r="W40" s="30">
        <v>70</v>
      </c>
      <c r="X40" s="30" t="str">
        <f t="shared" si="1"/>
        <v>MFX_70</v>
      </c>
      <c r="Y40" s="59">
        <v>5153</v>
      </c>
    </row>
    <row r="41" spans="1:25">
      <c r="A41" s="57" t="s">
        <v>172</v>
      </c>
      <c r="B41" s="57"/>
      <c r="C41" s="57"/>
      <c r="D41" s="57"/>
      <c r="E41" s="57"/>
      <c r="F41" s="57"/>
      <c r="G41" s="57"/>
      <c r="H41" s="57"/>
      <c r="I41" s="57"/>
      <c r="J41" s="57"/>
      <c r="L41" s="30" t="s">
        <v>104</v>
      </c>
      <c r="M41" s="30">
        <v>9.52</v>
      </c>
      <c r="N41" s="30" t="str">
        <f t="shared" si="4"/>
        <v>アルミニウム管_10㎜保温_9.52</v>
      </c>
      <c r="O41" s="31">
        <v>684</v>
      </c>
      <c r="Q41" s="30" t="s">
        <v>448</v>
      </c>
      <c r="R41" s="30" t="s">
        <v>547</v>
      </c>
      <c r="S41" s="30" t="s">
        <v>548</v>
      </c>
      <c r="T41" s="68">
        <v>86.6</v>
      </c>
      <c r="U41" s="68">
        <v>4</v>
      </c>
      <c r="V41" s="30" t="s">
        <v>117</v>
      </c>
      <c r="W41" s="30">
        <v>82</v>
      </c>
      <c r="X41" s="30" t="str">
        <f t="shared" si="1"/>
        <v>MFX_82</v>
      </c>
      <c r="Y41" s="59">
        <v>7014</v>
      </c>
    </row>
    <row r="42" spans="1:25">
      <c r="A42" s="57" t="s">
        <v>173</v>
      </c>
      <c r="B42" s="57"/>
      <c r="C42" s="57"/>
      <c r="D42" s="57"/>
      <c r="E42" s="57"/>
      <c r="F42" s="57"/>
      <c r="G42" s="57"/>
      <c r="H42" s="57"/>
      <c r="I42" s="57"/>
      <c r="J42" s="57"/>
      <c r="L42" s="30" t="s">
        <v>104</v>
      </c>
      <c r="M42" s="30">
        <v>12.7</v>
      </c>
      <c r="N42" s="30" t="str">
        <f t="shared" si="4"/>
        <v>アルミニウム管_10㎜保温_12.7</v>
      </c>
      <c r="O42" s="31">
        <v>840</v>
      </c>
      <c r="Q42" s="30" t="s">
        <v>448</v>
      </c>
      <c r="R42" s="30" t="s">
        <v>549</v>
      </c>
      <c r="S42" s="30" t="s">
        <v>550</v>
      </c>
      <c r="T42" s="68">
        <v>103.9</v>
      </c>
      <c r="U42" s="68">
        <v>7</v>
      </c>
      <c r="V42" s="30" t="s">
        <v>117</v>
      </c>
      <c r="W42" s="30">
        <v>100</v>
      </c>
      <c r="X42" s="30" t="str">
        <f t="shared" si="1"/>
        <v>MFX_100</v>
      </c>
      <c r="Y42" s="59">
        <v>10660</v>
      </c>
    </row>
    <row r="43" spans="1:25">
      <c r="A43" s="57" t="s">
        <v>174</v>
      </c>
      <c r="B43" s="57"/>
      <c r="C43" s="57"/>
      <c r="D43" s="57"/>
      <c r="E43" s="57"/>
      <c r="F43" s="57"/>
      <c r="G43" s="57"/>
      <c r="H43" s="57"/>
      <c r="I43" s="57"/>
      <c r="J43" s="57"/>
      <c r="L43" s="30" t="s">
        <v>104</v>
      </c>
      <c r="M43" s="30">
        <v>15.88</v>
      </c>
      <c r="N43" s="30" t="str">
        <f t="shared" si="4"/>
        <v>アルミニウム管_10㎜保温_15.88</v>
      </c>
      <c r="O43" s="31">
        <v>1011</v>
      </c>
      <c r="Q43" s="30" t="s">
        <v>448</v>
      </c>
      <c r="R43" s="30" t="s">
        <v>551</v>
      </c>
      <c r="S43" s="30" t="s">
        <v>552</v>
      </c>
      <c r="T43" s="68">
        <v>143.1</v>
      </c>
      <c r="U43" s="68">
        <v>11</v>
      </c>
      <c r="V43" s="30" t="s">
        <v>118</v>
      </c>
      <c r="W43" s="30">
        <v>12</v>
      </c>
      <c r="X43" s="30" t="str">
        <f t="shared" si="1"/>
        <v>マシンフレキ_12</v>
      </c>
      <c r="Y43" s="59">
        <v>246</v>
      </c>
    </row>
    <row r="44" spans="1:25">
      <c r="A44" s="57" t="s">
        <v>175</v>
      </c>
      <c r="B44" s="57"/>
      <c r="C44" s="57"/>
      <c r="D44" s="57"/>
      <c r="E44" s="57"/>
      <c r="F44" s="57"/>
      <c r="G44" s="57"/>
      <c r="H44" s="57"/>
      <c r="I44" s="57"/>
      <c r="J44" s="57"/>
      <c r="L44" s="30" t="s">
        <v>104</v>
      </c>
      <c r="M44" s="30">
        <v>19.05</v>
      </c>
      <c r="N44" s="30" t="str">
        <f t="shared" si="4"/>
        <v>アルミニウム管_10㎜保温_19.05</v>
      </c>
      <c r="O44" s="31">
        <v>1198</v>
      </c>
      <c r="Q44" s="30" t="s">
        <v>448</v>
      </c>
      <c r="R44" s="30" t="s">
        <v>553</v>
      </c>
      <c r="S44" s="30" t="s">
        <v>554</v>
      </c>
      <c r="T44" s="68">
        <v>176.7</v>
      </c>
      <c r="U44" s="68">
        <v>16</v>
      </c>
      <c r="V44" s="30" t="s">
        <v>339</v>
      </c>
      <c r="W44" s="30">
        <v>14</v>
      </c>
      <c r="X44" s="30" t="str">
        <f t="shared" si="1"/>
        <v>マシンフレキ_14</v>
      </c>
      <c r="Y44" s="59">
        <v>363</v>
      </c>
    </row>
    <row r="45" spans="1:25">
      <c r="A45" s="57" t="s">
        <v>176</v>
      </c>
      <c r="B45" s="57"/>
      <c r="C45" s="57"/>
      <c r="D45" s="57"/>
      <c r="E45" s="57"/>
      <c r="F45" s="57"/>
      <c r="G45" s="57"/>
      <c r="H45" s="57"/>
      <c r="I45" s="57"/>
      <c r="J45" s="57"/>
      <c r="L45" s="30" t="s">
        <v>104</v>
      </c>
      <c r="M45" s="30">
        <v>22.22</v>
      </c>
      <c r="N45" s="30" t="str">
        <f t="shared" si="4"/>
        <v>アルミニウム管_10㎜保温_22.22</v>
      </c>
      <c r="O45" s="31">
        <v>1400</v>
      </c>
      <c r="Q45" s="30" t="s">
        <v>448</v>
      </c>
      <c r="R45" s="30" t="s">
        <v>555</v>
      </c>
      <c r="S45" s="30" t="s">
        <v>556</v>
      </c>
      <c r="T45" s="68">
        <v>213.8</v>
      </c>
      <c r="U45" s="68">
        <v>28</v>
      </c>
      <c r="V45" s="30" t="s">
        <v>339</v>
      </c>
      <c r="W45" s="30">
        <v>16</v>
      </c>
      <c r="X45" s="30" t="str">
        <f t="shared" si="1"/>
        <v>マシンフレキ_16</v>
      </c>
      <c r="Y45" s="59">
        <v>415</v>
      </c>
    </row>
    <row r="46" spans="1:25">
      <c r="A46" s="57" t="s">
        <v>177</v>
      </c>
      <c r="B46" s="57"/>
      <c r="C46" s="57"/>
      <c r="D46" s="57"/>
      <c r="E46" s="57"/>
      <c r="F46" s="57"/>
      <c r="G46" s="57"/>
      <c r="H46" s="57"/>
      <c r="I46" s="57"/>
      <c r="J46" s="57"/>
      <c r="L46" s="30" t="s">
        <v>104</v>
      </c>
      <c r="M46" s="30">
        <v>25.4</v>
      </c>
      <c r="N46" s="30" t="str">
        <f t="shared" si="4"/>
        <v>アルミニウム管_10㎜保温_25.4</v>
      </c>
      <c r="O46" s="31">
        <v>1619</v>
      </c>
      <c r="Q46" s="30" t="s">
        <v>448</v>
      </c>
      <c r="R46" s="30" t="s">
        <v>557</v>
      </c>
      <c r="S46" s="30" t="s">
        <v>558</v>
      </c>
      <c r="T46" s="68">
        <v>298.60000000000002</v>
      </c>
      <c r="U46" s="68">
        <v>44</v>
      </c>
      <c r="V46" s="30" t="s">
        <v>339</v>
      </c>
      <c r="W46" s="30">
        <v>22</v>
      </c>
      <c r="X46" s="30" t="str">
        <f t="shared" si="1"/>
        <v>マシンフレキ_22</v>
      </c>
      <c r="Y46" s="59">
        <v>731</v>
      </c>
    </row>
    <row r="47" spans="1:25">
      <c r="A47" s="57" t="s">
        <v>179</v>
      </c>
      <c r="B47" s="57"/>
      <c r="C47" s="57"/>
      <c r="D47" s="57"/>
      <c r="E47" s="57"/>
      <c r="F47" s="57"/>
      <c r="G47" s="57"/>
      <c r="H47" s="57"/>
      <c r="I47" s="57"/>
      <c r="J47" s="57"/>
      <c r="L47" s="30" t="s">
        <v>104</v>
      </c>
      <c r="M47" s="30">
        <v>28.58</v>
      </c>
      <c r="N47" s="30" t="str">
        <f t="shared" si="4"/>
        <v>アルミニウム管_10㎜保温_28.58</v>
      </c>
      <c r="O47" s="31">
        <v>1854</v>
      </c>
      <c r="Q47" s="30" t="s">
        <v>448</v>
      </c>
      <c r="R47" s="30" t="s">
        <v>559</v>
      </c>
      <c r="S47" s="30" t="s">
        <v>560</v>
      </c>
      <c r="T47" s="68">
        <v>452.4</v>
      </c>
      <c r="U47" s="68">
        <v>76</v>
      </c>
      <c r="V47" s="30" t="s">
        <v>339</v>
      </c>
      <c r="W47" s="30">
        <v>28</v>
      </c>
      <c r="X47" s="30" t="str">
        <f t="shared" si="1"/>
        <v>マシンフレキ_28</v>
      </c>
      <c r="Y47" s="59">
        <v>1046</v>
      </c>
    </row>
    <row r="48" spans="1:25">
      <c r="A48" s="57" t="s">
        <v>360</v>
      </c>
      <c r="B48" s="57"/>
      <c r="C48" s="57"/>
      <c r="D48" s="57"/>
      <c r="E48" s="57"/>
      <c r="F48" s="57"/>
      <c r="G48" s="57"/>
      <c r="H48" s="57"/>
      <c r="I48" s="57"/>
      <c r="J48" s="57"/>
      <c r="L48" s="30" t="s">
        <v>104</v>
      </c>
      <c r="M48" s="30">
        <v>31.75</v>
      </c>
      <c r="N48" s="30" t="str">
        <f t="shared" si="4"/>
        <v>アルミニウム管_10㎜保温_31.75</v>
      </c>
      <c r="O48" s="31">
        <v>2103</v>
      </c>
      <c r="Q48" s="30" t="s">
        <v>448</v>
      </c>
      <c r="R48" s="30" t="s">
        <v>561</v>
      </c>
      <c r="S48" s="30" t="s">
        <v>562</v>
      </c>
      <c r="T48" s="68">
        <v>660.5</v>
      </c>
      <c r="U48" s="68">
        <v>120</v>
      </c>
      <c r="V48" s="30" t="s">
        <v>339</v>
      </c>
      <c r="W48" s="30">
        <v>36</v>
      </c>
      <c r="X48" s="30" t="str">
        <f t="shared" si="1"/>
        <v>マシンフレキ_36</v>
      </c>
      <c r="Y48" s="59">
        <v>1626</v>
      </c>
    </row>
    <row r="49" spans="1:26">
      <c r="A49" s="57" t="s">
        <v>361</v>
      </c>
      <c r="B49" s="57"/>
      <c r="C49" s="57"/>
      <c r="D49" s="57"/>
      <c r="E49" s="57"/>
      <c r="F49" s="57"/>
      <c r="G49" s="57"/>
      <c r="H49" s="57"/>
      <c r="I49" s="57"/>
      <c r="J49" s="57"/>
      <c r="L49" s="30" t="s">
        <v>104</v>
      </c>
      <c r="M49" s="30">
        <v>34.92</v>
      </c>
      <c r="N49" s="30" t="str">
        <f t="shared" si="4"/>
        <v>アルミニウム管_10㎜保温_34.92</v>
      </c>
      <c r="O49" s="31">
        <v>2369</v>
      </c>
      <c r="Q49" s="30" t="s">
        <v>448</v>
      </c>
      <c r="R49" s="30" t="s">
        <v>563</v>
      </c>
      <c r="S49" s="30" t="s">
        <v>564</v>
      </c>
      <c r="T49" s="68">
        <v>1075.2</v>
      </c>
      <c r="U49" s="68">
        <v>200</v>
      </c>
      <c r="V49" s="30" t="s">
        <v>339</v>
      </c>
      <c r="W49" s="30">
        <v>42</v>
      </c>
      <c r="X49" s="30" t="str">
        <f t="shared" si="1"/>
        <v>マシンフレキ_42</v>
      </c>
      <c r="Y49" s="59">
        <v>2124</v>
      </c>
    </row>
    <row r="50" spans="1:26">
      <c r="A50" s="57" t="s">
        <v>182</v>
      </c>
      <c r="B50" s="57"/>
      <c r="C50" s="57"/>
      <c r="D50" s="57"/>
      <c r="E50" s="57"/>
      <c r="F50" s="57"/>
      <c r="G50" s="57"/>
      <c r="H50" s="57"/>
      <c r="I50" s="57"/>
      <c r="J50" s="57"/>
      <c r="L50" s="30" t="s">
        <v>104</v>
      </c>
      <c r="M50" s="30">
        <v>38.1</v>
      </c>
      <c r="N50" s="30" t="str">
        <f t="shared" si="4"/>
        <v>アルミニウム管_10㎜保温_38.1</v>
      </c>
      <c r="O50" s="31">
        <v>2651</v>
      </c>
      <c r="Q50" s="30" t="s">
        <v>448</v>
      </c>
      <c r="R50" s="30" t="s">
        <v>565</v>
      </c>
      <c r="S50" s="30" t="s">
        <v>566</v>
      </c>
      <c r="T50" s="68">
        <v>1452.2</v>
      </c>
      <c r="U50" s="68">
        <v>300</v>
      </c>
      <c r="V50" s="30" t="s">
        <v>339</v>
      </c>
      <c r="W50" s="30">
        <v>54</v>
      </c>
      <c r="X50" s="30" t="str">
        <f t="shared" si="1"/>
        <v>マシンフレキ_54</v>
      </c>
      <c r="Y50" s="59">
        <v>3267</v>
      </c>
    </row>
    <row r="51" spans="1:26">
      <c r="A51" s="57" t="s">
        <v>362</v>
      </c>
      <c r="B51" s="57"/>
      <c r="C51" s="57"/>
      <c r="D51" s="57"/>
      <c r="E51" s="57"/>
      <c r="F51" s="57"/>
      <c r="G51" s="57"/>
      <c r="H51" s="57"/>
      <c r="I51" s="57"/>
      <c r="J51" s="57"/>
      <c r="L51" s="30" t="s">
        <v>105</v>
      </c>
      <c r="M51" s="30">
        <v>6.35</v>
      </c>
      <c r="N51" s="30" t="str">
        <f t="shared" si="4"/>
        <v>アルミニウム管_20㎜保温_6.35</v>
      </c>
      <c r="O51" s="31">
        <v>1687</v>
      </c>
      <c r="Q51" s="30" t="s">
        <v>448</v>
      </c>
      <c r="R51" s="30" t="s">
        <v>567</v>
      </c>
      <c r="S51" s="30" t="s">
        <v>568</v>
      </c>
      <c r="T51" s="68">
        <v>1963.5</v>
      </c>
      <c r="U51" s="68">
        <v>400</v>
      </c>
      <c r="V51" s="30" t="s">
        <v>125</v>
      </c>
      <c r="W51" s="30" t="s">
        <v>342</v>
      </c>
      <c r="X51" s="30" t="str">
        <f t="shared" si="1"/>
        <v>厚鋼電線管_G16</v>
      </c>
      <c r="Y51" s="59">
        <v>346</v>
      </c>
    </row>
    <row r="52" spans="1:26">
      <c r="A52" s="57" t="s">
        <v>363</v>
      </c>
      <c r="B52" s="57"/>
      <c r="C52" s="57"/>
      <c r="D52" s="57"/>
      <c r="E52" s="57"/>
      <c r="F52" s="57"/>
      <c r="G52" s="57"/>
      <c r="H52" s="57"/>
      <c r="I52" s="57"/>
      <c r="J52" s="57"/>
      <c r="L52" s="30" t="s">
        <v>105</v>
      </c>
      <c r="M52" s="30">
        <v>9.52</v>
      </c>
      <c r="N52" s="30" t="str">
        <f t="shared" si="4"/>
        <v>アルミニウム管_20㎜保温_9.52</v>
      </c>
      <c r="O52" s="31">
        <v>1926</v>
      </c>
      <c r="Q52" s="30" t="s">
        <v>448</v>
      </c>
      <c r="R52" s="30" t="s">
        <v>569</v>
      </c>
      <c r="S52" s="30" t="s">
        <v>570</v>
      </c>
      <c r="T52" s="68">
        <v>2290.1999999999998</v>
      </c>
      <c r="U52" s="68">
        <v>500</v>
      </c>
      <c r="V52" s="30" t="s">
        <v>119</v>
      </c>
      <c r="W52" s="30" t="s">
        <v>343</v>
      </c>
      <c r="X52" s="30" t="str">
        <f t="shared" si="1"/>
        <v>厚鋼電線管_G22</v>
      </c>
      <c r="Y52" s="59">
        <v>552</v>
      </c>
    </row>
    <row r="53" spans="1:26">
      <c r="A53" s="57" t="s">
        <v>185</v>
      </c>
      <c r="B53" s="57"/>
      <c r="C53" s="57"/>
      <c r="D53" s="57"/>
      <c r="E53" s="57"/>
      <c r="F53" s="57"/>
      <c r="G53" s="57"/>
      <c r="H53" s="57"/>
      <c r="I53" s="57"/>
      <c r="J53" s="57"/>
      <c r="L53" s="30" t="s">
        <v>105</v>
      </c>
      <c r="M53" s="30">
        <v>12.7</v>
      </c>
      <c r="N53" s="30" t="str">
        <f t="shared" si="4"/>
        <v>アルミニウム管_20㎜保温_12.7</v>
      </c>
      <c r="O53" s="31">
        <v>2181</v>
      </c>
      <c r="Q53" s="30" t="s">
        <v>448</v>
      </c>
      <c r="R53" s="30" t="s">
        <v>571</v>
      </c>
      <c r="S53" s="30" t="s">
        <v>572</v>
      </c>
      <c r="T53" s="68">
        <v>2827.4</v>
      </c>
      <c r="U53" s="68">
        <v>650</v>
      </c>
      <c r="V53" s="30" t="s">
        <v>119</v>
      </c>
      <c r="W53" s="30" t="s">
        <v>344</v>
      </c>
      <c r="X53" s="30" t="str">
        <f t="shared" si="1"/>
        <v>厚鋼電線管_G28</v>
      </c>
      <c r="Y53" s="59">
        <v>871</v>
      </c>
    </row>
    <row r="54" spans="1:26">
      <c r="A54" s="57" t="s">
        <v>364</v>
      </c>
      <c r="B54" s="57"/>
      <c r="C54" s="57"/>
      <c r="D54" s="57"/>
      <c r="E54" s="57"/>
      <c r="F54" s="57"/>
      <c r="G54" s="57"/>
      <c r="H54" s="57"/>
      <c r="I54" s="57"/>
      <c r="J54" s="57"/>
      <c r="L54" s="30" t="s">
        <v>105</v>
      </c>
      <c r="M54" s="30">
        <v>15.88</v>
      </c>
      <c r="N54" s="30" t="str">
        <f t="shared" si="4"/>
        <v>アルミニウム管_20㎜保温_15.88</v>
      </c>
      <c r="O54" s="31">
        <v>2452</v>
      </c>
      <c r="Q54" s="30" t="s">
        <v>448</v>
      </c>
      <c r="R54" s="30" t="s">
        <v>573</v>
      </c>
      <c r="S54" s="30" t="s">
        <v>574</v>
      </c>
      <c r="T54" s="68">
        <v>95</v>
      </c>
      <c r="U54" s="68">
        <v>6</v>
      </c>
      <c r="V54" s="30" t="s">
        <v>119</v>
      </c>
      <c r="W54" s="30" t="s">
        <v>345</v>
      </c>
      <c r="X54" s="30" t="str">
        <f t="shared" si="1"/>
        <v>厚鋼電線管_G36</v>
      </c>
      <c r="Y54" s="59">
        <v>1379</v>
      </c>
    </row>
    <row r="55" spans="1:26">
      <c r="A55" s="57" t="s">
        <v>365</v>
      </c>
      <c r="B55" s="57"/>
      <c r="C55" s="57"/>
      <c r="D55" s="57"/>
      <c r="E55" s="57"/>
      <c r="F55" s="57"/>
      <c r="G55" s="57"/>
      <c r="H55" s="57"/>
      <c r="I55" s="57"/>
      <c r="J55" s="57"/>
      <c r="L55" s="30" t="s">
        <v>105</v>
      </c>
      <c r="M55" s="30">
        <v>19.05</v>
      </c>
      <c r="N55" s="30" t="str">
        <f t="shared" si="4"/>
        <v>アルミニウム管_20㎜保温_19.05</v>
      </c>
      <c r="O55" s="31">
        <v>2739</v>
      </c>
      <c r="Q55" s="30" t="s">
        <v>448</v>
      </c>
      <c r="R55" s="30" t="s">
        <v>575</v>
      </c>
      <c r="S55" s="30" t="s">
        <v>576</v>
      </c>
      <c r="T55" s="68">
        <v>122.7</v>
      </c>
      <c r="U55" s="68">
        <v>10.5</v>
      </c>
      <c r="V55" s="30" t="s">
        <v>119</v>
      </c>
      <c r="W55" s="30" t="s">
        <v>346</v>
      </c>
      <c r="X55" s="30" t="str">
        <f t="shared" si="1"/>
        <v>厚鋼電線管_G42</v>
      </c>
      <c r="Y55" s="59">
        <v>1795</v>
      </c>
    </row>
    <row r="56" spans="1:26">
      <c r="A56" s="57" t="s">
        <v>190</v>
      </c>
      <c r="B56" s="57"/>
      <c r="C56" s="57"/>
      <c r="D56" s="57"/>
      <c r="E56" s="57"/>
      <c r="F56" s="57"/>
      <c r="G56" s="57"/>
      <c r="H56" s="57"/>
      <c r="I56" s="57"/>
      <c r="J56" s="57"/>
      <c r="L56" s="30" t="s">
        <v>105</v>
      </c>
      <c r="M56" s="30">
        <v>22.22</v>
      </c>
      <c r="N56" s="30" t="str">
        <f t="shared" si="4"/>
        <v>アルミニウム管_20㎜保温_22.22</v>
      </c>
      <c r="O56" s="31">
        <v>3041</v>
      </c>
      <c r="Q56" s="30" t="s">
        <v>448</v>
      </c>
      <c r="R56" s="30" t="s">
        <v>577</v>
      </c>
      <c r="S56" s="30" t="s">
        <v>578</v>
      </c>
      <c r="T56" s="68">
        <v>165.1</v>
      </c>
      <c r="U56" s="68">
        <v>16.5</v>
      </c>
      <c r="V56" s="30" t="s">
        <v>119</v>
      </c>
      <c r="W56" s="30" t="s">
        <v>347</v>
      </c>
      <c r="X56" s="30" t="str">
        <f t="shared" si="1"/>
        <v>厚鋼電線管_G54</v>
      </c>
      <c r="Y56" s="59">
        <v>2790</v>
      </c>
      <c r="Z56" s="30">
        <v>1</v>
      </c>
    </row>
    <row r="57" spans="1:26">
      <c r="A57" s="57" t="s">
        <v>191</v>
      </c>
      <c r="B57" s="57"/>
      <c r="C57" s="57"/>
      <c r="D57" s="57"/>
      <c r="E57" s="57"/>
      <c r="F57" s="57"/>
      <c r="G57" s="57"/>
      <c r="H57" s="57"/>
      <c r="I57" s="57"/>
      <c r="J57" s="57"/>
      <c r="L57" s="30" t="s">
        <v>105</v>
      </c>
      <c r="M57" s="30">
        <v>25.4</v>
      </c>
      <c r="N57" s="30" t="str">
        <f t="shared" si="4"/>
        <v>アルミニウム管_20㎜保温_25.4</v>
      </c>
      <c r="O57" s="31">
        <v>3359</v>
      </c>
      <c r="Q57" s="30" t="s">
        <v>448</v>
      </c>
      <c r="R57" s="30" t="s">
        <v>579</v>
      </c>
      <c r="S57" s="30" t="s">
        <v>580</v>
      </c>
      <c r="T57" s="68">
        <v>201.1</v>
      </c>
      <c r="U57" s="68">
        <v>24</v>
      </c>
      <c r="V57" s="30" t="s">
        <v>119</v>
      </c>
      <c r="W57" s="30" t="s">
        <v>348</v>
      </c>
      <c r="X57" s="30" t="str">
        <f t="shared" si="1"/>
        <v>厚鋼電線管_G70</v>
      </c>
      <c r="Y57" s="59">
        <v>4441</v>
      </c>
      <c r="Z57" s="30">
        <v>1</v>
      </c>
    </row>
    <row r="58" spans="1:26">
      <c r="A58" s="57" t="s">
        <v>366</v>
      </c>
      <c r="B58" s="57"/>
      <c r="C58" s="57"/>
      <c r="D58" s="57"/>
      <c r="E58" s="57"/>
      <c r="F58" s="57"/>
      <c r="G58" s="57"/>
      <c r="H58" s="57"/>
      <c r="I58" s="57"/>
      <c r="J58" s="57"/>
      <c r="L58" s="30" t="s">
        <v>105</v>
      </c>
      <c r="M58" s="30">
        <v>28.58</v>
      </c>
      <c r="N58" s="30" t="str">
        <f t="shared" si="4"/>
        <v>アルミニウム管_20㎜保温_28.58</v>
      </c>
      <c r="O58" s="31">
        <v>3694</v>
      </c>
      <c r="Q58" s="30" t="s">
        <v>448</v>
      </c>
      <c r="R58" s="30" t="s">
        <v>581</v>
      </c>
      <c r="S58" s="30" t="s">
        <v>582</v>
      </c>
      <c r="T58" s="68">
        <v>240.5</v>
      </c>
      <c r="U58" s="68">
        <v>42</v>
      </c>
      <c r="V58" s="30" t="s">
        <v>119</v>
      </c>
      <c r="W58" s="30" t="s">
        <v>349</v>
      </c>
      <c r="X58" s="30" t="str">
        <f t="shared" si="1"/>
        <v>厚鋼電線管_G82</v>
      </c>
      <c r="Y58" s="59">
        <v>6068</v>
      </c>
      <c r="Z58" s="30">
        <v>1</v>
      </c>
    </row>
    <row r="59" spans="1:26">
      <c r="A59" s="57" t="s">
        <v>367</v>
      </c>
      <c r="B59" s="57"/>
      <c r="C59" s="57"/>
      <c r="D59" s="57"/>
      <c r="E59" s="57"/>
      <c r="F59" s="57"/>
      <c r="G59" s="57"/>
      <c r="H59" s="57"/>
      <c r="I59" s="57"/>
      <c r="J59" s="57"/>
      <c r="L59" s="30" t="s">
        <v>105</v>
      </c>
      <c r="M59" s="30">
        <v>31.75</v>
      </c>
      <c r="N59" s="30" t="str">
        <f t="shared" si="4"/>
        <v>アルミニウム管_20㎜保温_31.75</v>
      </c>
      <c r="O59" s="31">
        <v>4043</v>
      </c>
      <c r="Q59" s="30" t="s">
        <v>448</v>
      </c>
      <c r="R59" s="30" t="s">
        <v>583</v>
      </c>
      <c r="S59" s="30" t="s">
        <v>584</v>
      </c>
      <c r="T59" s="68">
        <v>346.4</v>
      </c>
      <c r="U59" s="68">
        <v>66</v>
      </c>
      <c r="V59" s="30" t="s">
        <v>119</v>
      </c>
      <c r="W59" s="30" t="s">
        <v>350</v>
      </c>
      <c r="X59" s="30" t="str">
        <f t="shared" si="1"/>
        <v>厚鋼電線管_G92</v>
      </c>
      <c r="Y59" s="59">
        <v>7964</v>
      </c>
      <c r="Z59" s="30">
        <v>1</v>
      </c>
    </row>
    <row r="60" spans="1:26">
      <c r="A60" s="57" t="s">
        <v>194</v>
      </c>
      <c r="B60" s="57"/>
      <c r="C60" s="57"/>
      <c r="D60" s="57"/>
      <c r="E60" s="57"/>
      <c r="F60" s="57"/>
      <c r="G60" s="57"/>
      <c r="H60" s="57"/>
      <c r="I60" s="57"/>
      <c r="J60" s="57"/>
      <c r="L60" s="30" t="s">
        <v>105</v>
      </c>
      <c r="M60" s="30">
        <v>34.92</v>
      </c>
      <c r="N60" s="30" t="str">
        <f t="shared" si="4"/>
        <v>アルミニウム管_20㎜保温_34.92</v>
      </c>
      <c r="O60" s="31">
        <v>4408</v>
      </c>
      <c r="Q60" s="30" t="s">
        <v>448</v>
      </c>
      <c r="R60" s="30" t="s">
        <v>585</v>
      </c>
      <c r="S60" s="30" t="s">
        <v>586</v>
      </c>
      <c r="T60" s="68">
        <v>490.9</v>
      </c>
      <c r="U60" s="68">
        <v>114</v>
      </c>
      <c r="V60" s="30" t="s">
        <v>119</v>
      </c>
      <c r="W60" s="30" t="s">
        <v>351</v>
      </c>
      <c r="X60" s="30" t="str">
        <f t="shared" si="1"/>
        <v>厚鋼電線管_G104</v>
      </c>
      <c r="Y60" s="59">
        <v>10100</v>
      </c>
      <c r="Z60" s="30">
        <v>2</v>
      </c>
    </row>
    <row r="61" spans="1:26">
      <c r="A61" s="57" t="s">
        <v>195</v>
      </c>
      <c r="B61" s="57"/>
      <c r="C61" s="57"/>
      <c r="D61" s="57"/>
      <c r="E61" s="57"/>
      <c r="F61" s="57"/>
      <c r="G61" s="57"/>
      <c r="H61" s="57"/>
      <c r="I61" s="57"/>
      <c r="J61" s="57"/>
      <c r="L61" s="30" t="s">
        <v>105</v>
      </c>
      <c r="M61" s="30">
        <v>38.1</v>
      </c>
      <c r="N61" s="30" t="str">
        <f t="shared" si="4"/>
        <v>アルミニウム管_20㎜保温_38.1</v>
      </c>
      <c r="O61" s="31">
        <v>4791</v>
      </c>
      <c r="Q61" s="30" t="s">
        <v>448</v>
      </c>
      <c r="R61" s="30" t="s">
        <v>587</v>
      </c>
      <c r="S61" s="30" t="s">
        <v>588</v>
      </c>
      <c r="T61" s="68">
        <v>754.8</v>
      </c>
      <c r="U61" s="68">
        <v>180</v>
      </c>
      <c r="V61" s="30" t="s">
        <v>335</v>
      </c>
      <c r="W61" s="30" t="s">
        <v>352</v>
      </c>
      <c r="X61" s="30" t="str">
        <f t="shared" si="1"/>
        <v>薄鋼_ねじなし電線管_C19・E19</v>
      </c>
      <c r="Y61" s="59">
        <v>287</v>
      </c>
    </row>
    <row r="62" spans="1:26">
      <c r="A62" s="57" t="s">
        <v>196</v>
      </c>
      <c r="B62" s="57"/>
      <c r="C62" s="57"/>
      <c r="D62" s="57"/>
      <c r="E62" s="57"/>
      <c r="F62" s="57"/>
      <c r="G62" s="57"/>
      <c r="H62" s="57"/>
      <c r="I62" s="57"/>
      <c r="J62" s="57"/>
      <c r="Q62" s="30" t="s">
        <v>448</v>
      </c>
      <c r="R62" s="30" t="s">
        <v>589</v>
      </c>
      <c r="S62" s="30" t="s">
        <v>590</v>
      </c>
      <c r="T62" s="68">
        <v>1256.5999999999999</v>
      </c>
      <c r="U62" s="68">
        <v>300</v>
      </c>
      <c r="V62" s="30" t="s">
        <v>341</v>
      </c>
      <c r="W62" s="30" t="s">
        <v>353</v>
      </c>
      <c r="X62" s="30" t="str">
        <f t="shared" si="1"/>
        <v>薄鋼_ねじなし電線管_C25・E25</v>
      </c>
      <c r="Y62" s="59">
        <v>507</v>
      </c>
    </row>
    <row r="63" spans="1:26">
      <c r="A63" s="57" t="s">
        <v>197</v>
      </c>
      <c r="B63" s="57"/>
      <c r="C63" s="57"/>
      <c r="D63" s="57"/>
      <c r="E63" s="57"/>
      <c r="F63" s="57"/>
      <c r="G63" s="57"/>
      <c r="H63" s="57"/>
      <c r="I63" s="57"/>
      <c r="J63" s="57"/>
      <c r="Q63" s="30" t="s">
        <v>448</v>
      </c>
      <c r="R63" s="30" t="s">
        <v>591</v>
      </c>
      <c r="S63" s="30" t="s">
        <v>592</v>
      </c>
      <c r="T63" s="68">
        <v>1661.9</v>
      </c>
      <c r="U63" s="68">
        <v>450</v>
      </c>
      <c r="V63" s="30" t="s">
        <v>341</v>
      </c>
      <c r="W63" s="30" t="s">
        <v>354</v>
      </c>
      <c r="X63" s="30" t="str">
        <f t="shared" si="1"/>
        <v>薄鋼_ねじなし電線管_C31・E31</v>
      </c>
      <c r="Y63" s="59">
        <v>794</v>
      </c>
    </row>
    <row r="64" spans="1:26">
      <c r="A64" s="57" t="s">
        <v>198</v>
      </c>
      <c r="B64" s="57"/>
      <c r="C64" s="57"/>
      <c r="D64" s="57"/>
      <c r="E64" s="57"/>
      <c r="F64" s="57"/>
      <c r="G64" s="57"/>
      <c r="H64" s="57"/>
      <c r="I64" s="57"/>
      <c r="J64" s="57"/>
      <c r="Q64" s="30" t="s">
        <v>448</v>
      </c>
      <c r="R64" s="30" t="s">
        <v>593</v>
      </c>
      <c r="S64" s="30" t="s">
        <v>594</v>
      </c>
      <c r="T64" s="68">
        <v>2290.1999999999998</v>
      </c>
      <c r="U64" s="68">
        <v>600</v>
      </c>
      <c r="V64" s="30" t="s">
        <v>341</v>
      </c>
      <c r="W64" s="30" t="s">
        <v>355</v>
      </c>
      <c r="X64" s="30" t="str">
        <f t="shared" si="1"/>
        <v>薄鋼_ねじなし電線管_C39・E39</v>
      </c>
      <c r="Y64" s="59">
        <v>1140</v>
      </c>
    </row>
    <row r="65" spans="1:26">
      <c r="A65" s="57" t="s">
        <v>199</v>
      </c>
      <c r="B65" s="57"/>
      <c r="C65" s="57"/>
      <c r="D65" s="57"/>
      <c r="E65" s="57"/>
      <c r="F65" s="57"/>
      <c r="G65" s="57"/>
      <c r="H65" s="57"/>
      <c r="I65" s="57"/>
      <c r="J65" s="57"/>
      <c r="Q65" s="30" t="s">
        <v>448</v>
      </c>
      <c r="R65" s="30" t="s">
        <v>595</v>
      </c>
      <c r="S65" s="30" t="s">
        <v>596</v>
      </c>
      <c r="T65" s="68">
        <v>2642.1</v>
      </c>
      <c r="U65" s="68">
        <v>750</v>
      </c>
      <c r="V65" s="30" t="s">
        <v>341</v>
      </c>
      <c r="W65" s="30" t="s">
        <v>356</v>
      </c>
      <c r="X65" s="30" t="str">
        <f t="shared" si="1"/>
        <v>薄鋼_ねじなし電線管_C51・E51</v>
      </c>
      <c r="Y65" s="59">
        <v>2027</v>
      </c>
    </row>
    <row r="66" spans="1:26">
      <c r="A66" s="57" t="s">
        <v>200</v>
      </c>
      <c r="B66" s="57"/>
      <c r="C66" s="57"/>
      <c r="D66" s="57"/>
      <c r="E66" s="57"/>
      <c r="F66" s="57"/>
      <c r="G66" s="57"/>
      <c r="H66" s="57"/>
      <c r="I66" s="57"/>
      <c r="J66" s="57"/>
      <c r="Q66" s="30" t="s">
        <v>448</v>
      </c>
      <c r="R66" s="30" t="s">
        <v>597</v>
      </c>
      <c r="S66" s="30" t="s">
        <v>598</v>
      </c>
      <c r="T66" s="68">
        <v>3318.3</v>
      </c>
      <c r="U66" s="68">
        <v>975</v>
      </c>
      <c r="V66" s="30" t="s">
        <v>341</v>
      </c>
      <c r="W66" s="30" t="s">
        <v>357</v>
      </c>
      <c r="X66" s="30" t="str">
        <f t="shared" si="1"/>
        <v>薄鋼_ねじなし電線管_C63・E63</v>
      </c>
      <c r="Y66" s="59">
        <v>3167</v>
      </c>
      <c r="Z66" s="30">
        <v>1</v>
      </c>
    </row>
    <row r="67" spans="1:26">
      <c r="A67" s="30" t="s">
        <v>455</v>
      </c>
      <c r="B67" s="57"/>
      <c r="C67" s="57"/>
      <c r="D67" s="57"/>
      <c r="E67" s="57"/>
      <c r="F67" s="57"/>
      <c r="G67" s="57"/>
      <c r="H67" s="57"/>
      <c r="I67" s="57"/>
      <c r="J67" s="57"/>
      <c r="Q67" s="30" t="s">
        <v>448</v>
      </c>
      <c r="R67" s="30" t="s">
        <v>599</v>
      </c>
      <c r="S67" s="30" t="s">
        <v>600</v>
      </c>
      <c r="T67" s="68">
        <v>113.1</v>
      </c>
      <c r="U67" s="68">
        <v>8</v>
      </c>
      <c r="V67" s="30" t="s">
        <v>341</v>
      </c>
      <c r="W67" s="30" t="s">
        <v>358</v>
      </c>
      <c r="X67" s="30" t="str">
        <f t="shared" si="1"/>
        <v>薄鋼_ねじなし電線管_C75・E75</v>
      </c>
      <c r="Y67" s="59">
        <v>4560</v>
      </c>
      <c r="Z67" s="30">
        <v>1</v>
      </c>
    </row>
    <row r="68" spans="1:26">
      <c r="A68" s="57" t="s">
        <v>385</v>
      </c>
      <c r="B68" s="57"/>
      <c r="C68" s="57"/>
      <c r="D68" s="57"/>
      <c r="E68" s="57"/>
      <c r="F68" s="57"/>
      <c r="G68" s="57"/>
      <c r="H68" s="57"/>
      <c r="I68" s="57"/>
      <c r="J68" s="57"/>
      <c r="Q68" s="30" t="s">
        <v>448</v>
      </c>
      <c r="R68" s="30" t="s">
        <v>601</v>
      </c>
      <c r="S68" s="30" t="s">
        <v>602</v>
      </c>
      <c r="T68" s="68">
        <v>143.1</v>
      </c>
      <c r="U68" s="68">
        <v>14</v>
      </c>
      <c r="V68" s="30" t="s">
        <v>121</v>
      </c>
      <c r="W68" s="30">
        <v>10</v>
      </c>
      <c r="X68" s="30" t="str">
        <f t="shared" si="1"/>
        <v>金属製可とう電線管_10</v>
      </c>
      <c r="Y68" s="59">
        <v>174</v>
      </c>
    </row>
    <row r="69" spans="1:26">
      <c r="A69" s="57" t="s">
        <v>386</v>
      </c>
      <c r="B69" s="57"/>
      <c r="C69" s="57"/>
      <c r="D69" s="57"/>
      <c r="E69" s="57"/>
      <c r="F69" s="57"/>
      <c r="G69" s="57"/>
      <c r="H69" s="57"/>
      <c r="I69" s="57"/>
      <c r="J69" s="57"/>
      <c r="Q69" s="30" t="s">
        <v>448</v>
      </c>
      <c r="R69" s="30" t="s">
        <v>603</v>
      </c>
      <c r="S69" s="30" t="s">
        <v>604</v>
      </c>
      <c r="T69" s="68">
        <v>201.1</v>
      </c>
      <c r="U69" s="68">
        <v>22</v>
      </c>
      <c r="V69" s="30" t="s">
        <v>121</v>
      </c>
      <c r="W69" s="30">
        <v>12</v>
      </c>
      <c r="X69" s="30" t="str">
        <f t="shared" ref="X69:X132" si="5">V69&amp;"_"&amp;W69</f>
        <v>金属製可とう電線管_12</v>
      </c>
      <c r="Y69" s="59">
        <v>246</v>
      </c>
    </row>
    <row r="70" spans="1:26">
      <c r="A70" s="57" t="s">
        <v>387</v>
      </c>
      <c r="B70" s="57"/>
      <c r="C70" s="57"/>
      <c r="D70" s="57"/>
      <c r="E70" s="57"/>
      <c r="F70" s="57"/>
      <c r="G70" s="57"/>
      <c r="H70" s="57"/>
      <c r="I70" s="57"/>
      <c r="J70" s="57"/>
      <c r="Q70" s="30" t="s">
        <v>448</v>
      </c>
      <c r="R70" s="30" t="s">
        <v>605</v>
      </c>
      <c r="S70" s="30" t="s">
        <v>606</v>
      </c>
      <c r="T70" s="68">
        <v>227</v>
      </c>
      <c r="U70" s="68">
        <v>32</v>
      </c>
      <c r="V70" s="30" t="s">
        <v>121</v>
      </c>
      <c r="W70" s="30">
        <v>15</v>
      </c>
      <c r="X70" s="30" t="str">
        <f t="shared" si="5"/>
        <v>金属製可とう電線管_15</v>
      </c>
      <c r="Y70" s="59">
        <v>333</v>
      </c>
    </row>
    <row r="71" spans="1:26">
      <c r="A71" s="30" t="s">
        <v>456</v>
      </c>
      <c r="B71" s="57"/>
      <c r="C71" s="57"/>
      <c r="D71" s="57"/>
      <c r="E71" s="57"/>
      <c r="F71" s="57"/>
      <c r="G71" s="57"/>
      <c r="H71" s="57"/>
      <c r="I71" s="57"/>
      <c r="J71" s="57"/>
      <c r="Q71" s="30" t="s">
        <v>448</v>
      </c>
      <c r="R71" s="30" t="s">
        <v>607</v>
      </c>
      <c r="S71" s="30" t="s">
        <v>608</v>
      </c>
      <c r="T71" s="68">
        <v>283.5</v>
      </c>
      <c r="U71" s="68">
        <v>56</v>
      </c>
      <c r="V71" s="30" t="s">
        <v>121</v>
      </c>
      <c r="W71" s="30">
        <v>17</v>
      </c>
      <c r="X71" s="30" t="str">
        <f t="shared" si="5"/>
        <v>金属製可とう電線管_17</v>
      </c>
      <c r="Y71" s="59">
        <v>419</v>
      </c>
    </row>
    <row r="72" spans="1:26">
      <c r="A72" s="30" t="s">
        <v>457</v>
      </c>
      <c r="B72" s="57"/>
      <c r="C72" s="57"/>
      <c r="D72" s="57"/>
      <c r="E72" s="57"/>
      <c r="F72" s="57"/>
      <c r="G72" s="57"/>
      <c r="H72" s="57"/>
      <c r="I72" s="57"/>
      <c r="J72" s="57"/>
      <c r="Q72" s="30" t="s">
        <v>448</v>
      </c>
      <c r="R72" s="30" t="s">
        <v>609</v>
      </c>
      <c r="S72" s="30" t="s">
        <v>610</v>
      </c>
      <c r="T72" s="68">
        <v>415.5</v>
      </c>
      <c r="U72" s="68">
        <v>88</v>
      </c>
      <c r="V72" s="30" t="s">
        <v>121</v>
      </c>
      <c r="W72" s="30">
        <v>24</v>
      </c>
      <c r="X72" s="30" t="str">
        <f t="shared" si="5"/>
        <v>金属製可とう電線管_24</v>
      </c>
      <c r="Y72" s="59">
        <v>726</v>
      </c>
    </row>
    <row r="73" spans="1:26">
      <c r="A73" s="30" t="s">
        <v>454</v>
      </c>
      <c r="B73" s="57"/>
      <c r="C73" s="57"/>
      <c r="D73" s="57"/>
      <c r="E73" s="57"/>
      <c r="F73" s="57"/>
      <c r="G73" s="57"/>
      <c r="H73" s="57"/>
      <c r="I73" s="57"/>
      <c r="J73" s="57"/>
      <c r="Q73" s="30" t="s">
        <v>448</v>
      </c>
      <c r="R73" s="30" t="s">
        <v>611</v>
      </c>
      <c r="S73" s="30" t="s">
        <v>612</v>
      </c>
      <c r="T73" s="68">
        <v>615.79999999999995</v>
      </c>
      <c r="U73" s="68">
        <v>152</v>
      </c>
      <c r="V73" s="30" t="s">
        <v>121</v>
      </c>
      <c r="W73" s="30">
        <v>30</v>
      </c>
      <c r="X73" s="30" t="str">
        <f t="shared" si="5"/>
        <v>金属製可とう電線管_30</v>
      </c>
      <c r="Y73" s="59">
        <v>1046</v>
      </c>
    </row>
    <row r="74" spans="1:26">
      <c r="A74" s="57" t="s">
        <v>469</v>
      </c>
      <c r="B74" s="57"/>
      <c r="C74" s="57"/>
      <c r="D74" s="57"/>
      <c r="E74" s="57"/>
      <c r="F74" s="57"/>
      <c r="G74" s="57"/>
      <c r="H74" s="57"/>
      <c r="I74" s="57"/>
      <c r="J74" s="57"/>
      <c r="Q74" s="30" t="s">
        <v>448</v>
      </c>
      <c r="R74" s="30" t="s">
        <v>613</v>
      </c>
      <c r="S74" s="30" t="s">
        <v>614</v>
      </c>
      <c r="T74" s="68">
        <v>962.1</v>
      </c>
      <c r="U74" s="68">
        <v>240</v>
      </c>
      <c r="V74" s="30" t="s">
        <v>121</v>
      </c>
      <c r="W74" s="30">
        <v>38</v>
      </c>
      <c r="X74" s="30" t="str">
        <f t="shared" si="5"/>
        <v>金属製可とう電線管_38</v>
      </c>
      <c r="Y74" s="59">
        <v>1583</v>
      </c>
    </row>
    <row r="75" spans="1:26">
      <c r="A75" s="30" t="s">
        <v>452</v>
      </c>
      <c r="B75" s="57"/>
      <c r="C75" s="57"/>
      <c r="D75" s="57"/>
      <c r="E75" s="57"/>
      <c r="F75" s="57"/>
      <c r="G75" s="57"/>
      <c r="H75" s="57"/>
      <c r="I75" s="57"/>
      <c r="J75" s="57"/>
      <c r="Q75" s="30" t="s">
        <v>448</v>
      </c>
      <c r="R75" s="30" t="s">
        <v>615</v>
      </c>
      <c r="S75" s="30" t="s">
        <v>616</v>
      </c>
      <c r="T75" s="68">
        <v>1520.5</v>
      </c>
      <c r="U75" s="68">
        <v>400</v>
      </c>
      <c r="V75" s="30" t="s">
        <v>121</v>
      </c>
      <c r="W75" s="30">
        <v>50</v>
      </c>
      <c r="X75" s="30" t="str">
        <f t="shared" si="5"/>
        <v>金属製可とう電線管_50</v>
      </c>
      <c r="Y75" s="59">
        <v>2543</v>
      </c>
    </row>
    <row r="76" spans="1:26">
      <c r="A76" s="30" t="s">
        <v>458</v>
      </c>
      <c r="B76" s="57"/>
      <c r="C76" s="57"/>
      <c r="D76" s="57"/>
      <c r="E76" s="57"/>
      <c r="F76" s="57"/>
      <c r="G76" s="57"/>
      <c r="H76" s="57"/>
      <c r="I76" s="57"/>
      <c r="J76" s="57"/>
      <c r="Q76" s="30" t="s">
        <v>448</v>
      </c>
      <c r="R76" s="30" t="s">
        <v>617</v>
      </c>
      <c r="S76" s="30" t="s">
        <v>618</v>
      </c>
      <c r="T76" s="68">
        <v>2042.8</v>
      </c>
      <c r="U76" s="68">
        <v>600</v>
      </c>
      <c r="V76" s="30" t="s">
        <v>121</v>
      </c>
      <c r="W76" s="30">
        <v>63</v>
      </c>
      <c r="X76" s="30" t="str">
        <f t="shared" si="5"/>
        <v>金属製可とう電線管_63</v>
      </c>
      <c r="Y76" s="59">
        <v>4015</v>
      </c>
    </row>
    <row r="77" spans="1:26">
      <c r="A77" s="30" t="s">
        <v>461</v>
      </c>
      <c r="B77" s="57"/>
      <c r="C77" s="57"/>
      <c r="D77" s="57"/>
      <c r="E77" s="57"/>
      <c r="F77" s="57"/>
      <c r="G77" s="57"/>
      <c r="H77" s="57"/>
      <c r="I77" s="57"/>
      <c r="J77" s="57"/>
      <c r="Q77" s="30" t="s">
        <v>448</v>
      </c>
      <c r="R77" s="30" t="s">
        <v>619</v>
      </c>
      <c r="S77" s="30" t="s">
        <v>620</v>
      </c>
      <c r="T77" s="68">
        <v>2827.4</v>
      </c>
      <c r="U77" s="68">
        <v>800</v>
      </c>
      <c r="V77" s="30" t="s">
        <v>121</v>
      </c>
      <c r="W77" s="30">
        <v>76</v>
      </c>
      <c r="X77" s="30" t="str">
        <f t="shared" si="5"/>
        <v>金属製可とう電線管_76</v>
      </c>
      <c r="Y77" s="59">
        <v>5715</v>
      </c>
    </row>
    <row r="78" spans="1:26">
      <c r="A78" s="30" t="s">
        <v>463</v>
      </c>
      <c r="B78" s="57"/>
      <c r="C78" s="57"/>
      <c r="D78" s="57"/>
      <c r="E78" s="57"/>
      <c r="F78" s="57"/>
      <c r="G78" s="57"/>
      <c r="H78" s="57"/>
      <c r="I78" s="57"/>
      <c r="J78" s="57"/>
      <c r="Q78" s="30" t="s">
        <v>448</v>
      </c>
      <c r="R78" s="30" t="s">
        <v>621</v>
      </c>
      <c r="S78" s="30" t="s">
        <v>622</v>
      </c>
      <c r="T78" s="68">
        <v>3318.3</v>
      </c>
      <c r="U78" s="68">
        <v>1000</v>
      </c>
      <c r="V78" s="30" t="s">
        <v>121</v>
      </c>
      <c r="W78" s="30">
        <v>83</v>
      </c>
      <c r="X78" s="30" t="str">
        <f t="shared" si="5"/>
        <v>金属製可とう電線管_83</v>
      </c>
      <c r="Y78" s="59">
        <v>6490</v>
      </c>
    </row>
    <row r="79" spans="1:26">
      <c r="A79" s="30" t="s">
        <v>464</v>
      </c>
      <c r="B79" s="57"/>
      <c r="C79" s="57"/>
      <c r="D79" s="57"/>
      <c r="E79" s="57"/>
      <c r="F79" s="57"/>
      <c r="G79" s="57"/>
      <c r="H79" s="57"/>
      <c r="I79" s="57"/>
      <c r="J79" s="57"/>
      <c r="Q79" s="30" t="s">
        <v>449</v>
      </c>
      <c r="R79" s="30" t="s">
        <v>555</v>
      </c>
      <c r="S79" s="30" t="s">
        <v>623</v>
      </c>
      <c r="T79" s="68">
        <v>240.5</v>
      </c>
      <c r="U79" s="68">
        <v>14</v>
      </c>
      <c r="V79" s="30" t="s">
        <v>121</v>
      </c>
      <c r="W79" s="30">
        <v>101</v>
      </c>
      <c r="X79" s="30" t="str">
        <f t="shared" si="5"/>
        <v>金属製可とう電線管_101</v>
      </c>
      <c r="Y79" s="59">
        <v>9521</v>
      </c>
    </row>
    <row r="80" spans="1:26">
      <c r="A80" s="30" t="s">
        <v>465</v>
      </c>
      <c r="Q80" s="30" t="s">
        <v>449</v>
      </c>
      <c r="R80" s="30" t="s">
        <v>531</v>
      </c>
      <c r="S80" s="30" t="s">
        <v>624</v>
      </c>
      <c r="T80" s="68">
        <v>268.8</v>
      </c>
      <c r="U80" s="68">
        <v>22</v>
      </c>
      <c r="V80" s="30" t="s">
        <v>396</v>
      </c>
      <c r="W80" s="30">
        <v>20</v>
      </c>
      <c r="X80" s="30" t="str">
        <f>V80&amp;"_"&amp;W80</f>
        <v>結露防止層付ドレンパイプ_20</v>
      </c>
      <c r="Y80" s="59">
        <v>804</v>
      </c>
    </row>
    <row r="81" spans="1:25">
      <c r="A81" s="30" t="s">
        <v>467</v>
      </c>
      <c r="Q81" s="30" t="s">
        <v>449</v>
      </c>
      <c r="R81" s="30" t="s">
        <v>533</v>
      </c>
      <c r="S81" s="30" t="s">
        <v>625</v>
      </c>
      <c r="T81" s="68">
        <v>346.4</v>
      </c>
      <c r="U81" s="68">
        <v>38</v>
      </c>
      <c r="V81" s="30" t="s">
        <v>396</v>
      </c>
      <c r="W81" s="30">
        <v>25</v>
      </c>
      <c r="X81" s="30" t="str">
        <f t="shared" si="5"/>
        <v>結露防止層付ドレンパイプ_25</v>
      </c>
      <c r="Y81" s="59">
        <v>1134</v>
      </c>
    </row>
    <row r="82" spans="1:25">
      <c r="A82" s="30" t="s">
        <v>468</v>
      </c>
      <c r="Q82" s="30" t="s">
        <v>449</v>
      </c>
      <c r="R82" s="30" t="s">
        <v>535</v>
      </c>
      <c r="S82" s="30" t="s">
        <v>626</v>
      </c>
      <c r="T82" s="68">
        <v>415.5</v>
      </c>
      <c r="U82" s="68">
        <v>60</v>
      </c>
      <c r="V82" s="30" t="s">
        <v>396</v>
      </c>
      <c r="W82" s="30">
        <v>30</v>
      </c>
      <c r="X82" s="30" t="str">
        <f t="shared" si="5"/>
        <v>結露防止層付ドレンパイプ_30</v>
      </c>
      <c r="Y82" s="59">
        <v>1810</v>
      </c>
    </row>
    <row r="83" spans="1:25">
      <c r="Q83" s="30" t="s">
        <v>449</v>
      </c>
      <c r="R83" s="30" t="s">
        <v>537</v>
      </c>
      <c r="S83" s="30" t="s">
        <v>627</v>
      </c>
      <c r="T83" s="68">
        <v>530.9</v>
      </c>
      <c r="U83" s="68">
        <v>100</v>
      </c>
      <c r="V83" s="30" t="s">
        <v>396</v>
      </c>
      <c r="W83" s="30">
        <v>40</v>
      </c>
      <c r="X83" s="30" t="str">
        <f t="shared" si="5"/>
        <v>結露防止層付ドレンパイプ_40</v>
      </c>
      <c r="Y83" s="59">
        <v>2827</v>
      </c>
    </row>
    <row r="84" spans="1:25">
      <c r="Q84" s="30" t="s">
        <v>449</v>
      </c>
      <c r="R84" s="30" t="s">
        <v>539</v>
      </c>
      <c r="S84" s="30" t="s">
        <v>628</v>
      </c>
      <c r="T84" s="68">
        <v>660.5</v>
      </c>
      <c r="U84" s="68">
        <v>150</v>
      </c>
      <c r="V84" s="30" t="s">
        <v>396</v>
      </c>
      <c r="W84" s="30">
        <v>50</v>
      </c>
      <c r="X84" s="30" t="str">
        <f t="shared" si="5"/>
        <v>結露防止層付ドレンパイプ_50</v>
      </c>
      <c r="Y84" s="59">
        <v>4536</v>
      </c>
    </row>
    <row r="85" spans="1:25">
      <c r="Q85" s="30" t="s">
        <v>449</v>
      </c>
      <c r="R85" s="30" t="s">
        <v>541</v>
      </c>
      <c r="S85" s="30" t="s">
        <v>629</v>
      </c>
      <c r="T85" s="68">
        <v>804.2</v>
      </c>
      <c r="U85" s="68">
        <v>200</v>
      </c>
      <c r="V85" s="30" t="s">
        <v>396</v>
      </c>
      <c r="W85" s="30">
        <v>65</v>
      </c>
      <c r="X85" s="30" t="str">
        <f t="shared" si="5"/>
        <v>結露防止層付ドレンパイプ_65</v>
      </c>
      <c r="Y85" s="59">
        <v>6221</v>
      </c>
    </row>
    <row r="86" spans="1:25">
      <c r="Q86" s="30" t="s">
        <v>449</v>
      </c>
      <c r="R86" s="30" t="s">
        <v>543</v>
      </c>
      <c r="S86" s="30" t="s">
        <v>630</v>
      </c>
      <c r="T86" s="68">
        <v>962.1</v>
      </c>
      <c r="U86" s="68">
        <v>250</v>
      </c>
      <c r="V86" s="30" t="s">
        <v>107</v>
      </c>
      <c r="W86" s="30">
        <v>14</v>
      </c>
      <c r="X86" s="30" t="str">
        <f t="shared" si="5"/>
        <v>断熱ドレンホース_14</v>
      </c>
      <c r="Y86" s="59">
        <v>552</v>
      </c>
    </row>
    <row r="87" spans="1:25">
      <c r="Q87" s="30" t="s">
        <v>449</v>
      </c>
      <c r="R87" s="30" t="s">
        <v>545</v>
      </c>
      <c r="S87" s="30" t="s">
        <v>631</v>
      </c>
      <c r="T87" s="68">
        <v>1134.0999999999999</v>
      </c>
      <c r="U87" s="68">
        <v>325</v>
      </c>
      <c r="V87" s="30" t="s">
        <v>107</v>
      </c>
      <c r="W87" s="30">
        <v>20</v>
      </c>
      <c r="X87" s="30" t="str">
        <f t="shared" si="5"/>
        <v>断熱ドレンホース_20</v>
      </c>
      <c r="Y87" s="59">
        <v>755</v>
      </c>
    </row>
    <row r="88" spans="1:25">
      <c r="Q88" s="30" t="s">
        <v>449</v>
      </c>
      <c r="R88" s="30" t="s">
        <v>581</v>
      </c>
      <c r="S88" s="30" t="s">
        <v>632</v>
      </c>
      <c r="T88" s="68">
        <v>907.9</v>
      </c>
      <c r="U88" s="68">
        <v>42</v>
      </c>
      <c r="V88" s="30" t="s">
        <v>107</v>
      </c>
      <c r="W88" s="30">
        <v>25</v>
      </c>
      <c r="X88" s="30" t="str">
        <f t="shared" si="5"/>
        <v>断熱ドレンホース_25</v>
      </c>
      <c r="Y88" s="59">
        <v>1076</v>
      </c>
    </row>
    <row r="89" spans="1:25">
      <c r="Q89" s="30" t="s">
        <v>449</v>
      </c>
      <c r="R89" s="30" t="s">
        <v>583</v>
      </c>
      <c r="S89" s="30" t="s">
        <v>633</v>
      </c>
      <c r="T89" s="68">
        <v>1075.2</v>
      </c>
      <c r="U89" s="68">
        <v>66</v>
      </c>
      <c r="V89" s="30" t="s">
        <v>334</v>
      </c>
      <c r="W89" s="30">
        <v>14</v>
      </c>
      <c r="X89" s="30" t="str">
        <f t="shared" si="5"/>
        <v>ドレンホース_14</v>
      </c>
      <c r="Y89" s="59">
        <v>296</v>
      </c>
    </row>
    <row r="90" spans="1:25">
      <c r="Q90" s="30" t="s">
        <v>449</v>
      </c>
      <c r="R90" s="30" t="s">
        <v>585</v>
      </c>
      <c r="S90" s="30" t="s">
        <v>634</v>
      </c>
      <c r="T90" s="68">
        <v>1320.3</v>
      </c>
      <c r="U90" s="68">
        <v>114</v>
      </c>
      <c r="V90" s="30" t="s">
        <v>334</v>
      </c>
      <c r="W90" s="30">
        <v>16</v>
      </c>
      <c r="X90" s="30" t="str">
        <f t="shared" si="5"/>
        <v>ドレンホース_16</v>
      </c>
      <c r="Y90" s="59">
        <v>347</v>
      </c>
    </row>
    <row r="91" spans="1:25">
      <c r="Q91" s="30" t="s">
        <v>449</v>
      </c>
      <c r="R91" s="30" t="s">
        <v>587</v>
      </c>
      <c r="S91" s="30" t="s">
        <v>635</v>
      </c>
      <c r="T91" s="68">
        <v>1661.9</v>
      </c>
      <c r="U91" s="68">
        <v>180</v>
      </c>
      <c r="V91" s="30" t="s">
        <v>153</v>
      </c>
      <c r="W91" s="30">
        <v>16</v>
      </c>
      <c r="X91" s="30" t="str">
        <f t="shared" si="5"/>
        <v>さや管_16</v>
      </c>
      <c r="Y91" s="59">
        <v>346</v>
      </c>
    </row>
    <row r="92" spans="1:25">
      <c r="Q92" s="30" t="s">
        <v>449</v>
      </c>
      <c r="R92" s="30" t="s">
        <v>589</v>
      </c>
      <c r="S92" s="30" t="s">
        <v>636</v>
      </c>
      <c r="T92" s="68">
        <v>2123.6999999999998</v>
      </c>
      <c r="U92" s="68">
        <v>300</v>
      </c>
      <c r="V92" s="30" t="s">
        <v>153</v>
      </c>
      <c r="W92" s="30">
        <v>18</v>
      </c>
      <c r="X92" s="30" t="str">
        <f t="shared" si="5"/>
        <v>さや管_18</v>
      </c>
      <c r="Y92" s="59">
        <v>415</v>
      </c>
    </row>
    <row r="93" spans="1:25">
      <c r="Q93" s="30" t="s">
        <v>449</v>
      </c>
      <c r="R93" s="30" t="s">
        <v>591</v>
      </c>
      <c r="S93" s="30" t="s">
        <v>637</v>
      </c>
      <c r="T93" s="68">
        <v>2642.1</v>
      </c>
      <c r="U93" s="68">
        <v>450</v>
      </c>
      <c r="V93" s="30" t="s">
        <v>153</v>
      </c>
      <c r="W93" s="30">
        <v>22</v>
      </c>
      <c r="X93" s="30" t="str">
        <f t="shared" si="5"/>
        <v>さや管_22</v>
      </c>
      <c r="Y93" s="59">
        <v>616</v>
      </c>
    </row>
    <row r="94" spans="1:25">
      <c r="Q94" s="30" t="s">
        <v>449</v>
      </c>
      <c r="R94" s="30" t="s">
        <v>593</v>
      </c>
      <c r="S94" s="30" t="s">
        <v>638</v>
      </c>
      <c r="T94" s="68">
        <v>3421.2</v>
      </c>
      <c r="U94" s="68">
        <v>600</v>
      </c>
      <c r="V94" s="30" t="s">
        <v>153</v>
      </c>
      <c r="W94" s="30">
        <v>25</v>
      </c>
      <c r="X94" s="30" t="str">
        <f t="shared" si="5"/>
        <v>さや管_25</v>
      </c>
      <c r="Y94" s="59">
        <v>731</v>
      </c>
    </row>
    <row r="95" spans="1:25">
      <c r="Q95" s="30" t="s">
        <v>449</v>
      </c>
      <c r="R95" s="30" t="s">
        <v>595</v>
      </c>
      <c r="S95" s="30" t="s">
        <v>639</v>
      </c>
      <c r="T95" s="68">
        <v>3959.2</v>
      </c>
      <c r="U95" s="68">
        <v>750</v>
      </c>
      <c r="V95" s="30" t="s">
        <v>153</v>
      </c>
      <c r="W95" s="30">
        <v>28</v>
      </c>
      <c r="X95" s="30" t="str">
        <f t="shared" si="5"/>
        <v>さや管_28</v>
      </c>
      <c r="Y95" s="59">
        <v>908</v>
      </c>
    </row>
    <row r="96" spans="1:25">
      <c r="A96" s="57"/>
      <c r="Q96" s="30" t="s">
        <v>449</v>
      </c>
      <c r="R96" s="30" t="s">
        <v>597</v>
      </c>
      <c r="S96" s="30" t="s">
        <v>640</v>
      </c>
      <c r="T96" s="68">
        <v>4656.6000000000004</v>
      </c>
      <c r="U96" s="68">
        <v>975</v>
      </c>
      <c r="V96" s="30" t="s">
        <v>153</v>
      </c>
      <c r="W96" s="30">
        <v>30</v>
      </c>
      <c r="X96" s="30" t="str">
        <f t="shared" si="5"/>
        <v>さや管_30</v>
      </c>
      <c r="Y96" s="59">
        <v>1046</v>
      </c>
    </row>
    <row r="97" spans="1:25">
      <c r="A97" s="57"/>
      <c r="Q97" s="30" t="s">
        <v>393</v>
      </c>
      <c r="R97" s="30" t="s">
        <v>641</v>
      </c>
      <c r="S97" s="30" t="s">
        <v>642</v>
      </c>
      <c r="T97" s="68">
        <v>240.5</v>
      </c>
      <c r="U97" s="68">
        <v>16</v>
      </c>
      <c r="V97" s="30" t="s">
        <v>153</v>
      </c>
      <c r="W97" s="30">
        <v>36</v>
      </c>
      <c r="X97" s="30" t="str">
        <f t="shared" si="5"/>
        <v>さや管_36</v>
      </c>
      <c r="Y97" s="59">
        <v>1385</v>
      </c>
    </row>
    <row r="98" spans="1:25">
      <c r="A98" s="57"/>
      <c r="Q98" s="30" t="s">
        <v>385</v>
      </c>
      <c r="R98" s="30" t="s">
        <v>643</v>
      </c>
      <c r="S98" s="30" t="s">
        <v>644</v>
      </c>
      <c r="T98" s="68">
        <v>283.5</v>
      </c>
      <c r="U98" s="68">
        <v>28</v>
      </c>
      <c r="V98" s="30" t="s">
        <v>153</v>
      </c>
      <c r="W98" s="30">
        <v>42</v>
      </c>
      <c r="X98" s="30" t="str">
        <f t="shared" si="5"/>
        <v>さや管_42</v>
      </c>
      <c r="Y98" s="59">
        <v>1787</v>
      </c>
    </row>
    <row r="99" spans="1:25">
      <c r="A99" s="57"/>
      <c r="Q99" s="30" t="s">
        <v>385</v>
      </c>
      <c r="R99" s="30" t="s">
        <v>557</v>
      </c>
      <c r="S99" s="30" t="s">
        <v>645</v>
      </c>
      <c r="T99" s="68">
        <v>380.1</v>
      </c>
      <c r="U99" s="68">
        <v>44</v>
      </c>
      <c r="V99" s="30" t="s">
        <v>153</v>
      </c>
      <c r="W99" s="30" t="s">
        <v>163</v>
      </c>
      <c r="X99" s="30" t="str">
        <f t="shared" si="5"/>
        <v>さや管_楕円7</v>
      </c>
      <c r="Y99" s="59">
        <v>664</v>
      </c>
    </row>
    <row r="100" spans="1:25">
      <c r="A100" s="57"/>
      <c r="Q100" s="30" t="s">
        <v>385</v>
      </c>
      <c r="R100" s="30" t="s">
        <v>559</v>
      </c>
      <c r="S100" s="30" t="s">
        <v>646</v>
      </c>
      <c r="T100" s="68">
        <v>530.9</v>
      </c>
      <c r="U100" s="68">
        <v>76</v>
      </c>
      <c r="V100" s="30" t="s">
        <v>153</v>
      </c>
      <c r="W100" s="30" t="s">
        <v>165</v>
      </c>
      <c r="X100" s="30" t="str">
        <f t="shared" si="5"/>
        <v>さや管_楕円10</v>
      </c>
      <c r="Y100" s="59">
        <v>848</v>
      </c>
    </row>
    <row r="101" spans="1:25">
      <c r="Q101" s="30" t="s">
        <v>385</v>
      </c>
      <c r="R101" s="30" t="s">
        <v>561</v>
      </c>
      <c r="S101" s="30" t="s">
        <v>647</v>
      </c>
      <c r="T101" s="68">
        <v>754.8</v>
      </c>
      <c r="U101" s="68">
        <v>120</v>
      </c>
      <c r="V101" s="30" t="s">
        <v>154</v>
      </c>
      <c r="W101" s="30">
        <v>16</v>
      </c>
      <c r="X101" s="30" t="str">
        <f t="shared" si="5"/>
        <v>さや管_5㎜保温_16</v>
      </c>
      <c r="Y101" s="59">
        <v>755</v>
      </c>
    </row>
    <row r="102" spans="1:25">
      <c r="Q102" s="30" t="s">
        <v>385</v>
      </c>
      <c r="R102" s="30" t="s">
        <v>563</v>
      </c>
      <c r="S102" s="30" t="s">
        <v>648</v>
      </c>
      <c r="T102" s="68">
        <v>1134.0999999999999</v>
      </c>
      <c r="U102" s="68">
        <v>200</v>
      </c>
      <c r="V102" s="30" t="s">
        <v>154</v>
      </c>
      <c r="W102" s="30">
        <v>18</v>
      </c>
      <c r="X102" s="30" t="str">
        <f t="shared" si="5"/>
        <v>さや管_5㎜保温_18</v>
      </c>
      <c r="Y102" s="59">
        <v>855</v>
      </c>
    </row>
    <row r="103" spans="1:25">
      <c r="Q103" s="30" t="s">
        <v>385</v>
      </c>
      <c r="R103" s="30" t="s">
        <v>565</v>
      </c>
      <c r="S103" s="30" t="s">
        <v>649</v>
      </c>
      <c r="T103" s="68">
        <v>1520.5</v>
      </c>
      <c r="U103" s="68">
        <v>300</v>
      </c>
      <c r="V103" s="30" t="s">
        <v>154</v>
      </c>
      <c r="W103" s="30">
        <v>22</v>
      </c>
      <c r="X103" s="30" t="str">
        <f t="shared" si="5"/>
        <v>さや管_5㎜保温_22</v>
      </c>
      <c r="Y103" s="59">
        <v>1134</v>
      </c>
    </row>
    <row r="104" spans="1:25">
      <c r="Q104" s="30" t="s">
        <v>385</v>
      </c>
      <c r="R104" s="30" t="s">
        <v>567</v>
      </c>
      <c r="S104" s="30" t="s">
        <v>650</v>
      </c>
      <c r="T104" s="68">
        <v>2042.8</v>
      </c>
      <c r="U104" s="68">
        <v>400</v>
      </c>
      <c r="V104" s="30" t="s">
        <v>154</v>
      </c>
      <c r="W104" s="30">
        <v>25</v>
      </c>
      <c r="X104" s="30" t="str">
        <f t="shared" si="5"/>
        <v>さや管_5㎜保温_25</v>
      </c>
      <c r="Y104" s="59">
        <v>1288</v>
      </c>
    </row>
    <row r="105" spans="1:25">
      <c r="Q105" s="30" t="s">
        <v>385</v>
      </c>
      <c r="R105" s="30" t="s">
        <v>569</v>
      </c>
      <c r="S105" s="30" t="s">
        <v>651</v>
      </c>
      <c r="T105" s="68">
        <v>2463</v>
      </c>
      <c r="U105" s="68">
        <v>500</v>
      </c>
      <c r="V105" s="30" t="s">
        <v>154</v>
      </c>
      <c r="W105" s="30">
        <v>28</v>
      </c>
      <c r="X105" s="30" t="str">
        <f t="shared" si="5"/>
        <v>さや管_5㎜保温_28</v>
      </c>
      <c r="Y105" s="59">
        <v>1521</v>
      </c>
    </row>
    <row r="106" spans="1:25">
      <c r="Q106" s="30" t="s">
        <v>385</v>
      </c>
      <c r="R106" s="30" t="s">
        <v>571</v>
      </c>
      <c r="S106" s="30" t="s">
        <v>652</v>
      </c>
      <c r="T106" s="68">
        <v>2922.5</v>
      </c>
      <c r="U106" s="68">
        <v>650</v>
      </c>
      <c r="V106" s="30" t="s">
        <v>154</v>
      </c>
      <c r="W106" s="30">
        <v>30</v>
      </c>
      <c r="X106" s="30" t="str">
        <f t="shared" si="5"/>
        <v>さや管_5㎜保温_30</v>
      </c>
      <c r="Y106" s="59">
        <v>1698</v>
      </c>
    </row>
    <row r="107" spans="1:25">
      <c r="Q107" s="30" t="s">
        <v>394</v>
      </c>
      <c r="R107" s="30" t="s">
        <v>653</v>
      </c>
      <c r="S107" s="30" t="s">
        <v>654</v>
      </c>
      <c r="T107" s="68">
        <v>268.8</v>
      </c>
      <c r="U107" s="68">
        <v>24</v>
      </c>
      <c r="V107" s="30" t="s">
        <v>154</v>
      </c>
      <c r="W107" s="30">
        <v>36</v>
      </c>
      <c r="X107" s="30" t="str">
        <f t="shared" si="5"/>
        <v>さや管_5㎜保温_36</v>
      </c>
      <c r="Y107" s="59">
        <v>2124</v>
      </c>
    </row>
    <row r="108" spans="1:25">
      <c r="Q108" s="30" t="s">
        <v>386</v>
      </c>
      <c r="R108" s="30" t="s">
        <v>655</v>
      </c>
      <c r="S108" s="30" t="s">
        <v>656</v>
      </c>
      <c r="T108" s="68">
        <v>346.4</v>
      </c>
      <c r="U108" s="68">
        <v>42</v>
      </c>
      <c r="V108" s="30" t="s">
        <v>154</v>
      </c>
      <c r="W108" s="30">
        <v>42</v>
      </c>
      <c r="X108" s="30" t="str">
        <f t="shared" si="5"/>
        <v>さや管_5㎜保温_42</v>
      </c>
      <c r="Y108" s="59">
        <v>2615</v>
      </c>
    </row>
    <row r="109" spans="1:25">
      <c r="Q109" s="30" t="s">
        <v>386</v>
      </c>
      <c r="R109" s="30" t="s">
        <v>583</v>
      </c>
      <c r="S109" s="30" t="s">
        <v>657</v>
      </c>
      <c r="T109" s="68">
        <v>452.4</v>
      </c>
      <c r="U109" s="68">
        <v>66</v>
      </c>
      <c r="V109" s="30" t="s">
        <v>155</v>
      </c>
      <c r="W109" s="30">
        <v>16</v>
      </c>
      <c r="X109" s="30" t="str">
        <f t="shared" si="5"/>
        <v>さや管_10㎜保温_16</v>
      </c>
      <c r="Y109" s="59">
        <v>2922</v>
      </c>
    </row>
    <row r="110" spans="1:25">
      <c r="Q110" s="30" t="s">
        <v>386</v>
      </c>
      <c r="R110" s="30" t="s">
        <v>585</v>
      </c>
      <c r="S110" s="30" t="s">
        <v>658</v>
      </c>
      <c r="T110" s="68">
        <v>615.79999999999995</v>
      </c>
      <c r="U110" s="68">
        <v>114</v>
      </c>
      <c r="V110" s="30" t="s">
        <v>155</v>
      </c>
      <c r="W110" s="30">
        <v>18</v>
      </c>
      <c r="X110" s="30" t="str">
        <f t="shared" si="5"/>
        <v>さや管_10㎜保温_18</v>
      </c>
      <c r="Y110" s="59">
        <v>3117</v>
      </c>
    </row>
    <row r="111" spans="1:25">
      <c r="Q111" s="30" t="s">
        <v>386</v>
      </c>
      <c r="R111" s="30" t="s">
        <v>587</v>
      </c>
      <c r="S111" s="30" t="s">
        <v>659</v>
      </c>
      <c r="T111" s="68">
        <v>855.3</v>
      </c>
      <c r="U111" s="68">
        <v>180</v>
      </c>
      <c r="V111" s="30" t="s">
        <v>155</v>
      </c>
      <c r="W111" s="30">
        <v>22</v>
      </c>
      <c r="X111" s="30" t="str">
        <f t="shared" si="5"/>
        <v>さや管_10㎜保温_22</v>
      </c>
      <c r="Y111" s="59">
        <v>3632</v>
      </c>
    </row>
    <row r="112" spans="1:25">
      <c r="Q112" s="30" t="s">
        <v>386</v>
      </c>
      <c r="R112" s="30" t="s">
        <v>589</v>
      </c>
      <c r="S112" s="30" t="s">
        <v>660</v>
      </c>
      <c r="T112" s="68">
        <v>1320.3</v>
      </c>
      <c r="U112" s="68">
        <v>300</v>
      </c>
      <c r="V112" s="30" t="s">
        <v>155</v>
      </c>
      <c r="W112" s="30">
        <v>25</v>
      </c>
      <c r="X112" s="30" t="str">
        <f t="shared" si="5"/>
        <v>さや管_10㎜保温_25</v>
      </c>
      <c r="Y112" s="59">
        <v>3904</v>
      </c>
    </row>
    <row r="113" spans="17:25">
      <c r="Q113" s="30" t="s">
        <v>386</v>
      </c>
      <c r="R113" s="30" t="s">
        <v>591</v>
      </c>
      <c r="S113" s="30" t="s">
        <v>661</v>
      </c>
      <c r="T113" s="68">
        <v>1734.9</v>
      </c>
      <c r="U113" s="68">
        <v>450</v>
      </c>
      <c r="V113" s="30" t="s">
        <v>155</v>
      </c>
      <c r="W113" s="30">
        <v>28</v>
      </c>
      <c r="X113" s="30" t="str">
        <f t="shared" si="5"/>
        <v>さや管_10㎜保温_28</v>
      </c>
      <c r="Y113" s="59">
        <v>4301</v>
      </c>
    </row>
    <row r="114" spans="17:25">
      <c r="Q114" s="30" t="s">
        <v>386</v>
      </c>
      <c r="R114" s="30" t="s">
        <v>593</v>
      </c>
      <c r="S114" s="30" t="s">
        <v>662</v>
      </c>
      <c r="T114" s="68">
        <v>2375.8000000000002</v>
      </c>
      <c r="U114" s="68">
        <v>600</v>
      </c>
      <c r="V114" s="30" t="s">
        <v>155</v>
      </c>
      <c r="W114" s="30">
        <v>30</v>
      </c>
      <c r="X114" s="30" t="str">
        <f t="shared" si="5"/>
        <v>さや管_10㎜保温_30</v>
      </c>
      <c r="Y114" s="59">
        <v>4596</v>
      </c>
    </row>
    <row r="115" spans="17:25">
      <c r="Q115" s="30" t="s">
        <v>386</v>
      </c>
      <c r="R115" s="30" t="s">
        <v>595</v>
      </c>
      <c r="S115" s="30" t="s">
        <v>663</v>
      </c>
      <c r="T115" s="68">
        <v>2827.4</v>
      </c>
      <c r="U115" s="68">
        <v>750</v>
      </c>
      <c r="V115" s="30" t="s">
        <v>155</v>
      </c>
      <c r="W115" s="30">
        <v>36</v>
      </c>
      <c r="X115" s="30" t="str">
        <f t="shared" si="5"/>
        <v>さや管_10㎜保温_36</v>
      </c>
      <c r="Y115" s="59">
        <v>5281</v>
      </c>
    </row>
    <row r="116" spans="17:25">
      <c r="Q116" s="30" t="s">
        <v>386</v>
      </c>
      <c r="R116" s="30" t="s">
        <v>597</v>
      </c>
      <c r="S116" s="30" t="s">
        <v>664</v>
      </c>
      <c r="T116" s="68">
        <v>3421.2</v>
      </c>
      <c r="U116" s="68">
        <v>975</v>
      </c>
      <c r="V116" s="30" t="s">
        <v>155</v>
      </c>
      <c r="W116" s="30">
        <v>42</v>
      </c>
      <c r="X116" s="30" t="str">
        <f t="shared" si="5"/>
        <v>さや管_10㎜保温_42</v>
      </c>
      <c r="Y116" s="59">
        <v>6041</v>
      </c>
    </row>
    <row r="117" spans="17:25">
      <c r="Q117" s="30" t="s">
        <v>450</v>
      </c>
      <c r="R117" s="30" t="s">
        <v>655</v>
      </c>
      <c r="S117" s="30" t="s">
        <v>665</v>
      </c>
      <c r="T117" s="68">
        <v>1017.9</v>
      </c>
      <c r="U117" s="68">
        <v>42</v>
      </c>
      <c r="V117" s="30" t="s">
        <v>16</v>
      </c>
      <c r="W117" s="30">
        <v>7</v>
      </c>
      <c r="X117" s="30" t="str">
        <f t="shared" si="5"/>
        <v>架橋ポリエチレン管_5㎜保温_7</v>
      </c>
      <c r="Y117" s="59">
        <v>314</v>
      </c>
    </row>
    <row r="118" spans="17:25">
      <c r="Q118" s="30" t="s">
        <v>450</v>
      </c>
      <c r="R118" s="30" t="s">
        <v>583</v>
      </c>
      <c r="S118" s="30" t="s">
        <v>666</v>
      </c>
      <c r="T118" s="68">
        <v>1385.4</v>
      </c>
      <c r="U118" s="68">
        <v>66</v>
      </c>
      <c r="V118" s="30" t="s">
        <v>16</v>
      </c>
      <c r="W118" s="30">
        <v>10</v>
      </c>
      <c r="X118" s="30" t="str">
        <f t="shared" si="5"/>
        <v>架橋ポリエチレン管_5㎜保温_10</v>
      </c>
      <c r="Y118" s="59">
        <v>415</v>
      </c>
    </row>
    <row r="119" spans="17:25">
      <c r="Q119" s="30" t="s">
        <v>450</v>
      </c>
      <c r="R119" s="30" t="s">
        <v>585</v>
      </c>
      <c r="S119" s="30" t="s">
        <v>667</v>
      </c>
      <c r="T119" s="68">
        <v>1661.9</v>
      </c>
      <c r="U119" s="68">
        <v>114</v>
      </c>
      <c r="V119" s="30" t="s">
        <v>16</v>
      </c>
      <c r="W119" s="30">
        <v>13</v>
      </c>
      <c r="X119" s="30" t="str">
        <f t="shared" si="5"/>
        <v>架橋ポリエチレン管_5㎜保温_13</v>
      </c>
      <c r="Y119" s="59">
        <v>573</v>
      </c>
    </row>
    <row r="120" spans="17:25">
      <c r="Q120" s="30" t="s">
        <v>450</v>
      </c>
      <c r="R120" s="30" t="s">
        <v>587</v>
      </c>
      <c r="S120" s="30" t="s">
        <v>668</v>
      </c>
      <c r="T120" s="68">
        <v>1963.5</v>
      </c>
      <c r="U120" s="68">
        <v>180</v>
      </c>
      <c r="V120" s="30" t="s">
        <v>16</v>
      </c>
      <c r="W120" s="30">
        <v>16</v>
      </c>
      <c r="X120" s="30" t="str">
        <f t="shared" si="5"/>
        <v>架橋ポリエチレン管_5㎜保温_16</v>
      </c>
      <c r="Y120" s="59">
        <v>779</v>
      </c>
    </row>
    <row r="121" spans="17:25">
      <c r="Q121" s="30" t="s">
        <v>450</v>
      </c>
      <c r="R121" s="30" t="s">
        <v>589</v>
      </c>
      <c r="S121" s="30" t="s">
        <v>669</v>
      </c>
      <c r="T121" s="68">
        <v>2551.8000000000002</v>
      </c>
      <c r="U121" s="68">
        <v>300</v>
      </c>
      <c r="V121" s="30" t="s">
        <v>16</v>
      </c>
      <c r="W121" s="30">
        <v>20</v>
      </c>
      <c r="X121" s="30" t="str">
        <f t="shared" si="5"/>
        <v>架橋ポリエチレン管_5㎜保温_20</v>
      </c>
      <c r="Y121" s="59">
        <v>1075</v>
      </c>
    </row>
    <row r="122" spans="17:25">
      <c r="Q122" s="30" t="s">
        <v>450</v>
      </c>
      <c r="R122" s="30" t="s">
        <v>591</v>
      </c>
      <c r="S122" s="30" t="s">
        <v>670</v>
      </c>
      <c r="T122" s="68">
        <v>3318.3</v>
      </c>
      <c r="U122" s="68">
        <v>450</v>
      </c>
      <c r="V122" s="30" t="s">
        <v>16</v>
      </c>
      <c r="W122" s="30">
        <v>25</v>
      </c>
      <c r="X122" s="30" t="str">
        <f t="shared" si="5"/>
        <v>架橋ポリエチレン管_5㎜保温_25</v>
      </c>
      <c r="Y122" s="59">
        <v>1521</v>
      </c>
    </row>
    <row r="123" spans="17:25">
      <c r="Q123" s="30" t="s">
        <v>450</v>
      </c>
      <c r="R123" s="30" t="s">
        <v>593</v>
      </c>
      <c r="S123" s="30" t="s">
        <v>671</v>
      </c>
      <c r="T123" s="68">
        <v>4071.5</v>
      </c>
      <c r="U123" s="68">
        <v>600</v>
      </c>
      <c r="V123" s="30" t="s">
        <v>156</v>
      </c>
      <c r="W123" s="30">
        <v>7</v>
      </c>
      <c r="X123" s="30" t="str">
        <f t="shared" si="5"/>
        <v>架橋ポリエチレン管_10㎜保温_7</v>
      </c>
      <c r="Y123" s="59">
        <v>707</v>
      </c>
    </row>
    <row r="124" spans="17:25">
      <c r="Q124" s="30" t="s">
        <v>450</v>
      </c>
      <c r="R124" s="30" t="s">
        <v>595</v>
      </c>
      <c r="S124" s="30" t="s">
        <v>672</v>
      </c>
      <c r="T124" s="68">
        <v>4536.5</v>
      </c>
      <c r="U124" s="68">
        <v>750</v>
      </c>
      <c r="V124" s="30" t="s">
        <v>156</v>
      </c>
      <c r="W124" s="30">
        <v>10</v>
      </c>
      <c r="X124" s="30" t="str">
        <f t="shared" si="5"/>
        <v>架橋ポリエチレン管_10㎜保温_10</v>
      </c>
      <c r="Y124" s="59">
        <v>855</v>
      </c>
    </row>
    <row r="125" spans="17:25">
      <c r="Q125" s="30" t="s">
        <v>450</v>
      </c>
      <c r="R125" s="30" t="s">
        <v>597</v>
      </c>
      <c r="S125" s="30" t="s">
        <v>673</v>
      </c>
      <c r="T125" s="68">
        <v>5674.5</v>
      </c>
      <c r="U125" s="68">
        <v>975</v>
      </c>
      <c r="V125" s="30" t="s">
        <v>156</v>
      </c>
      <c r="W125" s="30">
        <v>13</v>
      </c>
      <c r="X125" s="30" t="str">
        <f t="shared" si="5"/>
        <v>架橋ポリエチレン管_10㎜保温_13</v>
      </c>
      <c r="Y125" s="59">
        <v>1075</v>
      </c>
    </row>
    <row r="126" spans="17:25">
      <c r="Q126" s="30" t="s">
        <v>395</v>
      </c>
      <c r="R126" s="30" t="s">
        <v>674</v>
      </c>
      <c r="S126" s="30" t="s">
        <v>675</v>
      </c>
      <c r="T126" s="68">
        <v>415.5</v>
      </c>
      <c r="U126" s="68">
        <v>56</v>
      </c>
      <c r="V126" s="30" t="s">
        <v>156</v>
      </c>
      <c r="W126" s="30">
        <v>16</v>
      </c>
      <c r="X126" s="30" t="str">
        <f t="shared" si="5"/>
        <v>架橋ポリエチレン管_10㎜保温_16</v>
      </c>
      <c r="Y126" s="59">
        <v>1353</v>
      </c>
    </row>
    <row r="127" spans="17:25">
      <c r="Q127" s="30" t="s">
        <v>387</v>
      </c>
      <c r="R127" s="30" t="s">
        <v>609</v>
      </c>
      <c r="S127" s="30" t="s">
        <v>676</v>
      </c>
      <c r="T127" s="68">
        <v>572.6</v>
      </c>
      <c r="U127" s="68">
        <v>88</v>
      </c>
      <c r="V127" s="30" t="s">
        <v>156</v>
      </c>
      <c r="W127" s="30">
        <v>20</v>
      </c>
      <c r="X127" s="30" t="str">
        <f t="shared" si="5"/>
        <v>架橋ポリエチレン管_10㎜保温_20</v>
      </c>
      <c r="Y127" s="59">
        <v>1735</v>
      </c>
    </row>
    <row r="128" spans="17:25">
      <c r="Q128" s="30" t="s">
        <v>387</v>
      </c>
      <c r="R128" s="30" t="s">
        <v>611</v>
      </c>
      <c r="S128" s="30" t="s">
        <v>677</v>
      </c>
      <c r="T128" s="68">
        <v>754.8</v>
      </c>
      <c r="U128" s="68">
        <v>152</v>
      </c>
      <c r="V128" s="30" t="s">
        <v>156</v>
      </c>
      <c r="W128" s="30">
        <v>25</v>
      </c>
      <c r="X128" s="30" t="str">
        <f t="shared" si="5"/>
        <v>架橋ポリエチレン管_10㎜保温_25</v>
      </c>
      <c r="Y128" s="59">
        <v>2290</v>
      </c>
    </row>
    <row r="129" spans="17:25">
      <c r="Q129" s="30" t="s">
        <v>387</v>
      </c>
      <c r="R129" s="30" t="s">
        <v>613</v>
      </c>
      <c r="S129" s="30" t="s">
        <v>678</v>
      </c>
      <c r="T129" s="68">
        <v>1075.2</v>
      </c>
      <c r="U129" s="68">
        <v>240</v>
      </c>
      <c r="V129" s="30" t="s">
        <v>157</v>
      </c>
      <c r="W129" s="30">
        <v>7</v>
      </c>
      <c r="X129" s="30" t="str">
        <f t="shared" si="5"/>
        <v>架橋ポリエチレン管_20㎜保温_7</v>
      </c>
      <c r="Y129" s="59">
        <v>1963</v>
      </c>
    </row>
    <row r="130" spans="17:25">
      <c r="Q130" s="30" t="s">
        <v>387</v>
      </c>
      <c r="R130" s="30" t="s">
        <v>615</v>
      </c>
      <c r="S130" s="30" t="s">
        <v>679</v>
      </c>
      <c r="T130" s="68">
        <v>1661.9</v>
      </c>
      <c r="U130" s="68">
        <v>400</v>
      </c>
      <c r="V130" s="30" t="s">
        <v>157</v>
      </c>
      <c r="W130" s="30">
        <v>10</v>
      </c>
      <c r="X130" s="30" t="str">
        <f t="shared" si="5"/>
        <v>架橋ポリエチレン管_20㎜保温_10</v>
      </c>
      <c r="Y130" s="59">
        <v>2206</v>
      </c>
    </row>
    <row r="131" spans="17:25">
      <c r="Q131" s="30" t="s">
        <v>387</v>
      </c>
      <c r="R131" s="30" t="s">
        <v>617</v>
      </c>
      <c r="S131" s="30" t="s">
        <v>680</v>
      </c>
      <c r="T131" s="68">
        <v>2206.1999999999998</v>
      </c>
      <c r="U131" s="68">
        <v>600</v>
      </c>
      <c r="V131" s="30" t="s">
        <v>157</v>
      </c>
      <c r="W131" s="30">
        <v>13</v>
      </c>
      <c r="X131" s="30" t="str">
        <f t="shared" si="5"/>
        <v>架橋ポリエチレン管_20㎜保温_13</v>
      </c>
      <c r="Y131" s="59">
        <v>2552</v>
      </c>
    </row>
    <row r="132" spans="17:25">
      <c r="Q132" s="30" t="s">
        <v>387</v>
      </c>
      <c r="R132" s="30" t="s">
        <v>619</v>
      </c>
      <c r="S132" s="30" t="s">
        <v>681</v>
      </c>
      <c r="T132" s="68">
        <v>3019.1</v>
      </c>
      <c r="U132" s="68">
        <v>800</v>
      </c>
      <c r="V132" s="30" t="s">
        <v>157</v>
      </c>
      <c r="W132" s="30">
        <v>16</v>
      </c>
      <c r="X132" s="30" t="str">
        <f t="shared" si="5"/>
        <v>架橋ポリエチレン管_20㎜保温_16</v>
      </c>
      <c r="Y132" s="59">
        <v>2971</v>
      </c>
    </row>
    <row r="133" spans="17:25">
      <c r="Q133" s="30" t="s">
        <v>387</v>
      </c>
      <c r="R133" s="30" t="s">
        <v>621</v>
      </c>
      <c r="S133" s="30" t="s">
        <v>682</v>
      </c>
      <c r="T133" s="68">
        <v>3525.7</v>
      </c>
      <c r="U133" s="68">
        <v>1000</v>
      </c>
      <c r="V133" s="30" t="s">
        <v>157</v>
      </c>
      <c r="W133" s="30">
        <v>20</v>
      </c>
      <c r="X133" s="30" t="str">
        <f t="shared" ref="X133:X196" si="6">V133&amp;"_"&amp;W133</f>
        <v>架橋ポリエチレン管_20㎜保温_20</v>
      </c>
      <c r="Y133" s="59">
        <v>3526</v>
      </c>
    </row>
    <row r="134" spans="17:25">
      <c r="Q134" s="30" t="s">
        <v>387</v>
      </c>
      <c r="R134" s="30" t="s">
        <v>683</v>
      </c>
      <c r="S134" s="30" t="s">
        <v>684</v>
      </c>
      <c r="T134" s="68">
        <v>4300.8</v>
      </c>
      <c r="U134" s="68">
        <v>1300</v>
      </c>
      <c r="V134" s="30" t="s">
        <v>157</v>
      </c>
      <c r="W134" s="30">
        <v>25</v>
      </c>
      <c r="X134" s="30" t="str">
        <f t="shared" si="6"/>
        <v>架橋ポリエチレン管_20㎜保温_25</v>
      </c>
      <c r="Y134" s="59">
        <v>4301</v>
      </c>
    </row>
    <row r="135" spans="17:25">
      <c r="Q135" s="30" t="s">
        <v>453</v>
      </c>
      <c r="R135" s="30" t="s">
        <v>685</v>
      </c>
      <c r="S135" s="30" t="s">
        <v>686</v>
      </c>
      <c r="T135" s="68">
        <v>58.1</v>
      </c>
      <c r="U135" s="68">
        <v>8</v>
      </c>
      <c r="V135" s="30" t="s">
        <v>158</v>
      </c>
      <c r="W135" s="30">
        <v>10</v>
      </c>
      <c r="X135" s="30" t="str">
        <f t="shared" si="6"/>
        <v>二層架橋ポリエチレン管_5㎜保温_10</v>
      </c>
      <c r="Y135" s="59">
        <v>415</v>
      </c>
    </row>
    <row r="136" spans="17:25">
      <c r="Q136" s="30" t="s">
        <v>453</v>
      </c>
      <c r="R136" s="30" t="s">
        <v>529</v>
      </c>
      <c r="S136" s="30" t="s">
        <v>687</v>
      </c>
      <c r="T136" s="68">
        <v>69.400000000000006</v>
      </c>
      <c r="U136" s="68">
        <v>14</v>
      </c>
      <c r="V136" s="30" t="s">
        <v>158</v>
      </c>
      <c r="W136" s="30">
        <v>13</v>
      </c>
      <c r="X136" s="30" t="str">
        <f t="shared" si="6"/>
        <v>二層架橋ポリエチレン管_5㎜保温_13</v>
      </c>
      <c r="Y136" s="59">
        <v>573</v>
      </c>
    </row>
    <row r="137" spans="17:25">
      <c r="Q137" s="30" t="s">
        <v>453</v>
      </c>
      <c r="R137" s="30" t="s">
        <v>531</v>
      </c>
      <c r="S137" s="30" t="s">
        <v>688</v>
      </c>
      <c r="T137" s="68">
        <v>95</v>
      </c>
      <c r="U137" s="68">
        <v>22</v>
      </c>
      <c r="V137" s="30" t="s">
        <v>158</v>
      </c>
      <c r="W137" s="30">
        <v>16</v>
      </c>
      <c r="X137" s="30" t="str">
        <f t="shared" si="6"/>
        <v>二層架橋ポリエチレン管_5㎜保温_16</v>
      </c>
      <c r="Y137" s="59">
        <v>779</v>
      </c>
    </row>
    <row r="138" spans="17:25">
      <c r="Q138" s="30" t="s">
        <v>453</v>
      </c>
      <c r="R138" s="30" t="s">
        <v>533</v>
      </c>
      <c r="S138" s="30" t="s">
        <v>689</v>
      </c>
      <c r="T138" s="68">
        <v>132.69999999999999</v>
      </c>
      <c r="U138" s="68">
        <v>38</v>
      </c>
      <c r="V138" s="30" t="s">
        <v>158</v>
      </c>
      <c r="W138" s="30">
        <v>20</v>
      </c>
      <c r="X138" s="30" t="str">
        <f t="shared" si="6"/>
        <v>二層架橋ポリエチレン管_5㎜保温_20</v>
      </c>
      <c r="Y138" s="59">
        <v>1075</v>
      </c>
    </row>
    <row r="139" spans="17:25">
      <c r="Q139" s="30" t="s">
        <v>453</v>
      </c>
      <c r="R139" s="30" t="s">
        <v>535</v>
      </c>
      <c r="S139" s="30" t="s">
        <v>690</v>
      </c>
      <c r="T139" s="68">
        <v>188.7</v>
      </c>
      <c r="U139" s="68">
        <v>60</v>
      </c>
      <c r="V139" s="30" t="s">
        <v>159</v>
      </c>
      <c r="W139" s="30">
        <v>10</v>
      </c>
      <c r="X139" s="30" t="str">
        <f t="shared" si="6"/>
        <v>二層架橋ポリエチレン管_10㎜保温_10</v>
      </c>
      <c r="Y139" s="59">
        <v>855</v>
      </c>
    </row>
    <row r="140" spans="17:25">
      <c r="Q140" s="30" t="s">
        <v>453</v>
      </c>
      <c r="R140" s="30" t="s">
        <v>537</v>
      </c>
      <c r="S140" s="30" t="s">
        <v>691</v>
      </c>
      <c r="T140" s="68">
        <v>283.5</v>
      </c>
      <c r="U140" s="68">
        <v>100</v>
      </c>
      <c r="V140" s="30" t="s">
        <v>159</v>
      </c>
      <c r="W140" s="30">
        <v>13</v>
      </c>
      <c r="X140" s="30" t="str">
        <f t="shared" si="6"/>
        <v>二層架橋ポリエチレン管_10㎜保温_13</v>
      </c>
      <c r="Y140" s="59">
        <v>1075</v>
      </c>
    </row>
    <row r="141" spans="17:25">
      <c r="Q141" s="30" t="s">
        <v>453</v>
      </c>
      <c r="R141" s="30" t="s">
        <v>539</v>
      </c>
      <c r="S141" s="30" t="s">
        <v>692</v>
      </c>
      <c r="T141" s="68">
        <v>380.1</v>
      </c>
      <c r="U141" s="68">
        <v>150</v>
      </c>
      <c r="V141" s="30" t="s">
        <v>159</v>
      </c>
      <c r="W141" s="30">
        <v>16</v>
      </c>
      <c r="X141" s="30" t="str">
        <f t="shared" si="6"/>
        <v>二層架橋ポリエチレン管_10㎜保温_16</v>
      </c>
      <c r="Y141" s="59">
        <v>1353</v>
      </c>
    </row>
    <row r="142" spans="17:25">
      <c r="Q142" s="30" t="s">
        <v>453</v>
      </c>
      <c r="R142" s="30" t="s">
        <v>541</v>
      </c>
      <c r="S142" s="30" t="s">
        <v>693</v>
      </c>
      <c r="T142" s="68">
        <v>530.9</v>
      </c>
      <c r="U142" s="68">
        <v>200</v>
      </c>
      <c r="V142" s="30" t="s">
        <v>159</v>
      </c>
      <c r="W142" s="30">
        <v>20</v>
      </c>
      <c r="X142" s="30" t="str">
        <f t="shared" si="6"/>
        <v>二層架橋ポリエチレン管_10㎜保温_20</v>
      </c>
      <c r="Y142" s="59">
        <v>1735</v>
      </c>
    </row>
    <row r="143" spans="17:25">
      <c r="Q143" s="30" t="s">
        <v>453</v>
      </c>
      <c r="R143" s="30" t="s">
        <v>543</v>
      </c>
      <c r="S143" s="30" t="s">
        <v>694</v>
      </c>
      <c r="T143" s="68">
        <v>615.79999999999995</v>
      </c>
      <c r="U143" s="68">
        <v>250</v>
      </c>
      <c r="V143" s="30" t="s">
        <v>15</v>
      </c>
      <c r="W143" s="30">
        <v>10</v>
      </c>
      <c r="X143" s="30" t="str">
        <f t="shared" si="6"/>
        <v>二層架橋ポリエチレン管_20㎜保温_10</v>
      </c>
      <c r="Y143" s="59">
        <v>2206</v>
      </c>
    </row>
    <row r="144" spans="17:25">
      <c r="Q144" s="30" t="s">
        <v>453</v>
      </c>
      <c r="R144" s="30" t="s">
        <v>545</v>
      </c>
      <c r="S144" s="30" t="s">
        <v>695</v>
      </c>
      <c r="T144" s="68">
        <v>754.8</v>
      </c>
      <c r="U144" s="68">
        <v>325</v>
      </c>
      <c r="V144" s="30" t="s">
        <v>15</v>
      </c>
      <c r="W144" s="30">
        <v>13</v>
      </c>
      <c r="X144" s="30" t="str">
        <f t="shared" si="6"/>
        <v>二層架橋ポリエチレン管_20㎜保温_13</v>
      </c>
      <c r="Y144" s="59">
        <v>2552</v>
      </c>
    </row>
    <row r="145" spans="17:25">
      <c r="Q145" s="30" t="s">
        <v>453</v>
      </c>
      <c r="R145" s="30" t="s">
        <v>547</v>
      </c>
      <c r="S145" s="30" t="s">
        <v>696</v>
      </c>
      <c r="T145" s="68">
        <v>86.6</v>
      </c>
      <c r="U145" s="68">
        <v>4</v>
      </c>
      <c r="V145" s="30" t="s">
        <v>15</v>
      </c>
      <c r="W145" s="30">
        <v>16</v>
      </c>
      <c r="X145" s="30" t="str">
        <f t="shared" si="6"/>
        <v>二層架橋ポリエチレン管_20㎜保温_16</v>
      </c>
      <c r="Y145" s="59">
        <v>2971</v>
      </c>
    </row>
    <row r="146" spans="17:25">
      <c r="Q146" s="30" t="s">
        <v>453</v>
      </c>
      <c r="R146" s="30" t="s">
        <v>549</v>
      </c>
      <c r="S146" s="30" t="s">
        <v>697</v>
      </c>
      <c r="T146" s="68">
        <v>103.9</v>
      </c>
      <c r="U146" s="68">
        <v>7</v>
      </c>
      <c r="V146" s="30" t="s">
        <v>15</v>
      </c>
      <c r="W146" s="30">
        <v>20</v>
      </c>
      <c r="X146" s="30" t="str">
        <f t="shared" si="6"/>
        <v>二層架橋ポリエチレン管_20㎜保温_20</v>
      </c>
      <c r="Y146" s="59">
        <v>3526</v>
      </c>
    </row>
    <row r="147" spans="17:25">
      <c r="Q147" s="30" t="s">
        <v>453</v>
      </c>
      <c r="R147" s="30" t="s">
        <v>551</v>
      </c>
      <c r="S147" s="30" t="s">
        <v>698</v>
      </c>
      <c r="T147" s="68">
        <v>143.1</v>
      </c>
      <c r="U147" s="68">
        <v>11</v>
      </c>
      <c r="V147" s="30" t="s">
        <v>160</v>
      </c>
      <c r="W147" s="30">
        <v>10</v>
      </c>
      <c r="X147" s="30" t="str">
        <f t="shared" si="6"/>
        <v>ポリブテン管_5㎜保温_10</v>
      </c>
      <c r="Y147" s="59">
        <v>415</v>
      </c>
    </row>
    <row r="148" spans="17:25">
      <c r="Q148" s="30" t="s">
        <v>453</v>
      </c>
      <c r="R148" s="30" t="s">
        <v>553</v>
      </c>
      <c r="S148" s="30" t="s">
        <v>699</v>
      </c>
      <c r="T148" s="68">
        <v>176.7</v>
      </c>
      <c r="U148" s="68">
        <v>16</v>
      </c>
      <c r="V148" s="30" t="s">
        <v>160</v>
      </c>
      <c r="W148" s="30">
        <v>13</v>
      </c>
      <c r="X148" s="30" t="str">
        <f t="shared" si="6"/>
        <v>ポリブテン管_5㎜保温_13</v>
      </c>
      <c r="Y148" s="59">
        <v>573</v>
      </c>
    </row>
    <row r="149" spans="17:25">
      <c r="Q149" s="30" t="s">
        <v>453</v>
      </c>
      <c r="R149" s="30" t="s">
        <v>555</v>
      </c>
      <c r="S149" s="30" t="s">
        <v>700</v>
      </c>
      <c r="T149" s="68">
        <v>213.8</v>
      </c>
      <c r="U149" s="68">
        <v>28</v>
      </c>
      <c r="V149" s="30" t="s">
        <v>160</v>
      </c>
      <c r="W149" s="30">
        <v>16</v>
      </c>
      <c r="X149" s="30" t="str">
        <f t="shared" si="6"/>
        <v>ポリブテン管_5㎜保温_16</v>
      </c>
      <c r="Y149" s="59">
        <v>804</v>
      </c>
    </row>
    <row r="150" spans="17:25">
      <c r="Q150" s="30" t="s">
        <v>453</v>
      </c>
      <c r="R150" s="30" t="s">
        <v>557</v>
      </c>
      <c r="S150" s="30" t="s">
        <v>701</v>
      </c>
      <c r="T150" s="68">
        <v>298.60000000000002</v>
      </c>
      <c r="U150" s="68">
        <v>44</v>
      </c>
      <c r="V150" s="30" t="s">
        <v>160</v>
      </c>
      <c r="W150" s="30">
        <v>20</v>
      </c>
      <c r="X150" s="30" t="str">
        <f t="shared" si="6"/>
        <v>ポリブテン管_5㎜保温_20</v>
      </c>
      <c r="Y150" s="59">
        <v>1075</v>
      </c>
    </row>
    <row r="151" spans="17:25">
      <c r="Q151" s="30" t="s">
        <v>453</v>
      </c>
      <c r="R151" s="30" t="s">
        <v>559</v>
      </c>
      <c r="S151" s="30" t="s">
        <v>702</v>
      </c>
      <c r="T151" s="68">
        <v>452.4</v>
      </c>
      <c r="U151" s="68">
        <v>76</v>
      </c>
      <c r="V151" s="30" t="s">
        <v>160</v>
      </c>
      <c r="W151" s="30">
        <v>25</v>
      </c>
      <c r="X151" s="30" t="str">
        <f t="shared" si="6"/>
        <v>ポリブテン管_5㎜保温_25</v>
      </c>
      <c r="Y151" s="59">
        <v>1521</v>
      </c>
    </row>
    <row r="152" spans="17:25">
      <c r="Q152" s="30" t="s">
        <v>453</v>
      </c>
      <c r="R152" s="30" t="s">
        <v>561</v>
      </c>
      <c r="S152" s="30" t="s">
        <v>703</v>
      </c>
      <c r="T152" s="68">
        <v>660.5</v>
      </c>
      <c r="U152" s="68">
        <v>120</v>
      </c>
      <c r="V152" s="30" t="s">
        <v>161</v>
      </c>
      <c r="W152" s="30">
        <v>10</v>
      </c>
      <c r="X152" s="30" t="str">
        <f t="shared" si="6"/>
        <v>ポリブテン管_10㎜保温_10</v>
      </c>
      <c r="Y152" s="59">
        <v>855</v>
      </c>
    </row>
    <row r="153" spans="17:25">
      <c r="Q153" s="30" t="s">
        <v>453</v>
      </c>
      <c r="R153" s="30" t="s">
        <v>563</v>
      </c>
      <c r="S153" s="30" t="s">
        <v>704</v>
      </c>
      <c r="T153" s="68">
        <v>1075.2</v>
      </c>
      <c r="U153" s="68">
        <v>200</v>
      </c>
      <c r="V153" s="30" t="s">
        <v>161</v>
      </c>
      <c r="W153" s="30">
        <v>13</v>
      </c>
      <c r="X153" s="30" t="str">
        <f t="shared" si="6"/>
        <v>ポリブテン管_10㎜保温_13</v>
      </c>
      <c r="Y153" s="59">
        <v>1075</v>
      </c>
    </row>
    <row r="154" spans="17:25">
      <c r="Q154" s="30" t="s">
        <v>453</v>
      </c>
      <c r="R154" s="30" t="s">
        <v>565</v>
      </c>
      <c r="S154" s="30" t="s">
        <v>705</v>
      </c>
      <c r="T154" s="68">
        <v>1452.2</v>
      </c>
      <c r="U154" s="68">
        <v>300</v>
      </c>
      <c r="V154" s="30" t="s">
        <v>161</v>
      </c>
      <c r="W154" s="30">
        <v>16</v>
      </c>
      <c r="X154" s="30" t="str">
        <f t="shared" si="6"/>
        <v>ポリブテン管_10㎜保温_16</v>
      </c>
      <c r="Y154" s="59">
        <v>1385</v>
      </c>
    </row>
    <row r="155" spans="17:25">
      <c r="Q155" s="30" t="s">
        <v>453</v>
      </c>
      <c r="R155" s="30" t="s">
        <v>567</v>
      </c>
      <c r="S155" s="30" t="s">
        <v>706</v>
      </c>
      <c r="T155" s="68">
        <v>1963.5</v>
      </c>
      <c r="U155" s="68">
        <v>400</v>
      </c>
      <c r="V155" s="30" t="s">
        <v>161</v>
      </c>
      <c r="W155" s="30">
        <v>20</v>
      </c>
      <c r="X155" s="30" t="str">
        <f t="shared" si="6"/>
        <v>ポリブテン管_10㎜保温_20</v>
      </c>
      <c r="Y155" s="59">
        <v>1735</v>
      </c>
    </row>
    <row r="156" spans="17:25">
      <c r="Q156" s="30" t="s">
        <v>453</v>
      </c>
      <c r="R156" s="30" t="s">
        <v>569</v>
      </c>
      <c r="S156" s="30" t="s">
        <v>707</v>
      </c>
      <c r="T156" s="68">
        <v>2290.1999999999998</v>
      </c>
      <c r="U156" s="68">
        <v>500</v>
      </c>
      <c r="V156" s="30" t="s">
        <v>161</v>
      </c>
      <c r="W156" s="30">
        <v>25</v>
      </c>
      <c r="X156" s="30" t="str">
        <f t="shared" si="6"/>
        <v>ポリブテン管_10㎜保温_25</v>
      </c>
      <c r="Y156" s="59">
        <v>2290</v>
      </c>
    </row>
    <row r="157" spans="17:25">
      <c r="Q157" s="30" t="s">
        <v>453</v>
      </c>
      <c r="R157" s="30" t="s">
        <v>571</v>
      </c>
      <c r="S157" s="30" t="s">
        <v>708</v>
      </c>
      <c r="T157" s="68">
        <v>2827.4</v>
      </c>
      <c r="U157" s="68">
        <v>650</v>
      </c>
      <c r="V157" s="30" t="s">
        <v>162</v>
      </c>
      <c r="W157" s="30">
        <v>10</v>
      </c>
      <c r="X157" s="30" t="str">
        <f t="shared" si="6"/>
        <v>ポリブテン管_20㎜保温_10</v>
      </c>
      <c r="Y157" s="59">
        <v>2206</v>
      </c>
    </row>
    <row r="158" spans="17:25">
      <c r="Q158" s="30" t="s">
        <v>453</v>
      </c>
      <c r="R158" s="30" t="s">
        <v>573</v>
      </c>
      <c r="S158" s="30" t="s">
        <v>709</v>
      </c>
      <c r="T158" s="68">
        <v>95</v>
      </c>
      <c r="U158" s="68">
        <v>6</v>
      </c>
      <c r="V158" s="30" t="s">
        <v>162</v>
      </c>
      <c r="W158" s="30">
        <v>13</v>
      </c>
      <c r="X158" s="30" t="str">
        <f t="shared" si="6"/>
        <v>ポリブテン管_20㎜保温_13</v>
      </c>
      <c r="Y158" s="59">
        <v>2552</v>
      </c>
    </row>
    <row r="159" spans="17:25">
      <c r="Q159" s="30" t="s">
        <v>453</v>
      </c>
      <c r="R159" s="30" t="s">
        <v>575</v>
      </c>
      <c r="S159" s="30" t="s">
        <v>710</v>
      </c>
      <c r="T159" s="68">
        <v>122.7</v>
      </c>
      <c r="U159" s="68">
        <v>10.5</v>
      </c>
      <c r="V159" s="30" t="s">
        <v>162</v>
      </c>
      <c r="W159" s="30">
        <v>16</v>
      </c>
      <c r="X159" s="30" t="str">
        <f t="shared" si="6"/>
        <v>ポリブテン管_20㎜保温_16</v>
      </c>
      <c r="Y159" s="59">
        <v>3019</v>
      </c>
    </row>
    <row r="160" spans="17:25">
      <c r="Q160" s="30" t="s">
        <v>453</v>
      </c>
      <c r="R160" s="30" t="s">
        <v>577</v>
      </c>
      <c r="S160" s="30" t="s">
        <v>711</v>
      </c>
      <c r="T160" s="68">
        <v>165.1</v>
      </c>
      <c r="U160" s="68">
        <v>16.5</v>
      </c>
      <c r="V160" s="30" t="s">
        <v>162</v>
      </c>
      <c r="W160" s="30">
        <v>20</v>
      </c>
      <c r="X160" s="30" t="str">
        <f t="shared" si="6"/>
        <v>ポリブテン管_20㎜保温_20</v>
      </c>
      <c r="Y160" s="59">
        <v>3526</v>
      </c>
    </row>
    <row r="161" spans="17:25">
      <c r="Q161" s="30" t="s">
        <v>453</v>
      </c>
      <c r="R161" s="30" t="s">
        <v>579</v>
      </c>
      <c r="S161" s="30" t="s">
        <v>712</v>
      </c>
      <c r="T161" s="68">
        <v>201.1</v>
      </c>
      <c r="U161" s="68">
        <v>24</v>
      </c>
      <c r="V161" s="30" t="s">
        <v>162</v>
      </c>
      <c r="W161" s="30">
        <v>25</v>
      </c>
      <c r="X161" s="30" t="str">
        <f t="shared" si="6"/>
        <v>ポリブテン管_20㎜保温_25</v>
      </c>
      <c r="Y161" s="59">
        <v>4301</v>
      </c>
    </row>
    <row r="162" spans="17:25">
      <c r="Q162" s="30" t="s">
        <v>453</v>
      </c>
      <c r="R162" s="30" t="s">
        <v>581</v>
      </c>
      <c r="S162" s="30" t="s">
        <v>713</v>
      </c>
      <c r="T162" s="68">
        <v>240.5</v>
      </c>
      <c r="U162" s="68">
        <v>42</v>
      </c>
      <c r="V162" s="30" t="s">
        <v>164</v>
      </c>
      <c r="W162" s="30">
        <v>10</v>
      </c>
      <c r="X162" s="30" t="str">
        <f t="shared" si="6"/>
        <v>エラストマー被覆架橋ポリエチレン管_10</v>
      </c>
      <c r="Y162" s="59">
        <v>227</v>
      </c>
    </row>
    <row r="163" spans="17:25">
      <c r="Q163" s="30" t="s">
        <v>453</v>
      </c>
      <c r="R163" s="30" t="s">
        <v>583</v>
      </c>
      <c r="S163" s="30" t="s">
        <v>714</v>
      </c>
      <c r="T163" s="68">
        <v>346.4</v>
      </c>
      <c r="U163" s="68">
        <v>66</v>
      </c>
      <c r="V163" s="30" t="s">
        <v>164</v>
      </c>
      <c r="W163" s="30">
        <v>13</v>
      </c>
      <c r="X163" s="30" t="str">
        <f t="shared" si="6"/>
        <v>エラストマー被覆架橋ポリエチレン管_13</v>
      </c>
      <c r="Y163" s="59">
        <v>346</v>
      </c>
    </row>
    <row r="164" spans="17:25">
      <c r="Q164" s="30" t="s">
        <v>453</v>
      </c>
      <c r="R164" s="30" t="s">
        <v>585</v>
      </c>
      <c r="S164" s="30" t="s">
        <v>715</v>
      </c>
      <c r="T164" s="68">
        <v>490.9</v>
      </c>
      <c r="U164" s="68">
        <v>114</v>
      </c>
      <c r="V164" s="30" t="s">
        <v>164</v>
      </c>
      <c r="W164" s="30">
        <v>16</v>
      </c>
      <c r="X164" s="30" t="str">
        <f t="shared" si="6"/>
        <v>エラストマー被覆架橋ポリエチレン管_16</v>
      </c>
      <c r="Y164" s="59">
        <v>511</v>
      </c>
    </row>
    <row r="165" spans="17:25">
      <c r="Q165" s="30" t="s">
        <v>453</v>
      </c>
      <c r="R165" s="30" t="s">
        <v>587</v>
      </c>
      <c r="S165" s="30" t="s">
        <v>716</v>
      </c>
      <c r="T165" s="68">
        <v>754.8</v>
      </c>
      <c r="U165" s="68">
        <v>180</v>
      </c>
      <c r="V165" s="30" t="s">
        <v>164</v>
      </c>
      <c r="W165" s="30">
        <v>20</v>
      </c>
      <c r="X165" s="30" t="str">
        <f t="shared" si="6"/>
        <v>エラストマー被覆架橋ポリエチレン管_20</v>
      </c>
      <c r="Y165" s="59">
        <v>755</v>
      </c>
    </row>
    <row r="166" spans="17:25">
      <c r="Q166" s="30" t="s">
        <v>453</v>
      </c>
      <c r="R166" s="30" t="s">
        <v>589</v>
      </c>
      <c r="S166" s="30" t="s">
        <v>717</v>
      </c>
      <c r="T166" s="68">
        <v>1256.5999999999999</v>
      </c>
      <c r="U166" s="68">
        <v>300</v>
      </c>
      <c r="V166" s="30" t="s">
        <v>166</v>
      </c>
      <c r="W166" s="30">
        <v>10</v>
      </c>
      <c r="X166" s="30" t="str">
        <f t="shared" si="6"/>
        <v>コルゲート付架橋ポリエチレン管_10</v>
      </c>
      <c r="Y166" s="59">
        <v>284</v>
      </c>
    </row>
    <row r="167" spans="17:25">
      <c r="Q167" s="30" t="s">
        <v>453</v>
      </c>
      <c r="R167" s="30" t="s">
        <v>591</v>
      </c>
      <c r="S167" s="30" t="s">
        <v>718</v>
      </c>
      <c r="T167" s="68">
        <v>1661.9</v>
      </c>
      <c r="U167" s="68">
        <v>450</v>
      </c>
      <c r="V167" s="30" t="s">
        <v>166</v>
      </c>
      <c r="W167" s="30">
        <v>13</v>
      </c>
      <c r="X167" s="30" t="str">
        <f t="shared" si="6"/>
        <v>コルゲート付架橋ポリエチレン管_13</v>
      </c>
      <c r="Y167" s="59">
        <v>434</v>
      </c>
    </row>
    <row r="168" spans="17:25">
      <c r="Q168" s="30" t="s">
        <v>453</v>
      </c>
      <c r="R168" s="30" t="s">
        <v>593</v>
      </c>
      <c r="S168" s="30" t="s">
        <v>719</v>
      </c>
      <c r="T168" s="68">
        <v>2290.1999999999998</v>
      </c>
      <c r="U168" s="68">
        <v>600</v>
      </c>
      <c r="V168" s="30" t="s">
        <v>166</v>
      </c>
      <c r="W168" s="30">
        <v>16</v>
      </c>
      <c r="X168" s="30" t="str">
        <f t="shared" si="6"/>
        <v>コルゲート付架橋ポリエチレン管_16</v>
      </c>
      <c r="Y168" s="59">
        <v>755</v>
      </c>
    </row>
    <row r="169" spans="17:25">
      <c r="Q169" s="30" t="s">
        <v>453</v>
      </c>
      <c r="R169" s="30" t="s">
        <v>595</v>
      </c>
      <c r="S169" s="30" t="s">
        <v>720</v>
      </c>
      <c r="T169" s="68">
        <v>2642.1</v>
      </c>
      <c r="U169" s="68">
        <v>750</v>
      </c>
      <c r="V169" s="30" t="s">
        <v>166</v>
      </c>
      <c r="W169" s="30">
        <v>20</v>
      </c>
      <c r="X169" s="30" t="str">
        <f t="shared" si="6"/>
        <v>コルゲート付架橋ポリエチレン管_20</v>
      </c>
      <c r="Y169" s="59">
        <v>1385</v>
      </c>
    </row>
    <row r="170" spans="17:25">
      <c r="Q170" s="30" t="s">
        <v>453</v>
      </c>
      <c r="R170" s="30" t="s">
        <v>597</v>
      </c>
      <c r="S170" s="30" t="s">
        <v>721</v>
      </c>
      <c r="T170" s="68">
        <v>3318.3</v>
      </c>
      <c r="U170" s="68">
        <v>975</v>
      </c>
      <c r="V170" s="30" t="s">
        <v>167</v>
      </c>
      <c r="W170" s="30">
        <v>13</v>
      </c>
      <c r="X170" s="30" t="str">
        <f t="shared" si="6"/>
        <v>コルゲート付ポリブデン管_13</v>
      </c>
      <c r="Y170" s="59">
        <v>434</v>
      </c>
    </row>
    <row r="171" spans="17:25">
      <c r="Q171" s="30" t="s">
        <v>453</v>
      </c>
      <c r="R171" s="30" t="s">
        <v>599</v>
      </c>
      <c r="S171" s="30" t="s">
        <v>722</v>
      </c>
      <c r="T171" s="68">
        <v>113.1</v>
      </c>
      <c r="U171" s="68">
        <v>8</v>
      </c>
      <c r="V171" s="30" t="s">
        <v>167</v>
      </c>
      <c r="W171" s="30">
        <v>16</v>
      </c>
      <c r="X171" s="30" t="str">
        <f t="shared" si="6"/>
        <v>コルゲート付ポリブデン管_16</v>
      </c>
      <c r="Y171" s="59">
        <v>755</v>
      </c>
    </row>
    <row r="172" spans="17:25">
      <c r="Q172" s="30" t="s">
        <v>453</v>
      </c>
      <c r="R172" s="30" t="s">
        <v>601</v>
      </c>
      <c r="S172" s="30" t="s">
        <v>723</v>
      </c>
      <c r="T172" s="68">
        <v>143.1</v>
      </c>
      <c r="U172" s="68">
        <v>14</v>
      </c>
      <c r="V172" s="30" t="s">
        <v>167</v>
      </c>
      <c r="W172" s="30">
        <v>20</v>
      </c>
      <c r="X172" s="30" t="str">
        <f t="shared" si="6"/>
        <v>コルゲート付ポリブデン管_20</v>
      </c>
      <c r="Y172" s="59">
        <v>1385</v>
      </c>
    </row>
    <row r="173" spans="17:25">
      <c r="Q173" s="30" t="s">
        <v>453</v>
      </c>
      <c r="R173" s="30" t="s">
        <v>603</v>
      </c>
      <c r="S173" s="30" t="s">
        <v>724</v>
      </c>
      <c r="T173" s="68">
        <v>201.1</v>
      </c>
      <c r="U173" s="68">
        <v>22</v>
      </c>
      <c r="V173" s="30" t="s">
        <v>167</v>
      </c>
      <c r="W173" s="30">
        <v>25</v>
      </c>
      <c r="X173" s="30" t="str">
        <f t="shared" si="6"/>
        <v>コルゲート付ポリブデン管_25</v>
      </c>
      <c r="Y173" s="59">
        <v>1385</v>
      </c>
    </row>
    <row r="174" spans="17:25">
      <c r="Q174" s="30" t="s">
        <v>453</v>
      </c>
      <c r="R174" s="30" t="s">
        <v>605</v>
      </c>
      <c r="S174" s="30" t="s">
        <v>725</v>
      </c>
      <c r="T174" s="68">
        <v>227</v>
      </c>
      <c r="U174" s="68">
        <v>32</v>
      </c>
      <c r="V174" s="30" t="s">
        <v>397</v>
      </c>
      <c r="W174" s="30">
        <v>7</v>
      </c>
      <c r="X174" s="30" t="str">
        <f t="shared" si="6"/>
        <v>PERT_5㎜保温_7</v>
      </c>
      <c r="Y174" s="59">
        <v>314</v>
      </c>
    </row>
    <row r="175" spans="17:25">
      <c r="Q175" s="30" t="s">
        <v>453</v>
      </c>
      <c r="R175" s="30" t="s">
        <v>607</v>
      </c>
      <c r="S175" s="30" t="s">
        <v>726</v>
      </c>
      <c r="T175" s="68">
        <v>283.5</v>
      </c>
      <c r="U175" s="68">
        <v>56</v>
      </c>
      <c r="V175" s="30" t="s">
        <v>397</v>
      </c>
      <c r="W175" s="30">
        <v>10</v>
      </c>
      <c r="X175" s="30" t="str">
        <f t="shared" si="6"/>
        <v>PERT_5㎜保温_10</v>
      </c>
      <c r="Y175" s="59">
        <v>415</v>
      </c>
    </row>
    <row r="176" spans="17:25">
      <c r="Q176" s="30" t="s">
        <v>453</v>
      </c>
      <c r="R176" s="30" t="s">
        <v>609</v>
      </c>
      <c r="S176" s="30" t="s">
        <v>727</v>
      </c>
      <c r="T176" s="68">
        <v>415.5</v>
      </c>
      <c r="U176" s="68">
        <v>88</v>
      </c>
      <c r="V176" s="30" t="s">
        <v>397</v>
      </c>
      <c r="W176" s="30">
        <v>13</v>
      </c>
      <c r="X176" s="30" t="str">
        <f t="shared" si="6"/>
        <v>PERT_5㎜保温_13</v>
      </c>
      <c r="Y176" s="59">
        <v>573</v>
      </c>
    </row>
    <row r="177" spans="17:25">
      <c r="Q177" s="30" t="s">
        <v>453</v>
      </c>
      <c r="R177" s="30" t="s">
        <v>611</v>
      </c>
      <c r="S177" s="30" t="s">
        <v>728</v>
      </c>
      <c r="T177" s="68">
        <v>615.79999999999995</v>
      </c>
      <c r="U177" s="68">
        <v>152</v>
      </c>
      <c r="V177" s="30" t="s">
        <v>398</v>
      </c>
      <c r="W177" s="30">
        <v>7</v>
      </c>
      <c r="X177" s="30" t="str">
        <f t="shared" si="6"/>
        <v>PERT_10㎜保温_7</v>
      </c>
      <c r="Y177" s="59">
        <v>707</v>
      </c>
    </row>
    <row r="178" spans="17:25">
      <c r="Q178" s="30" t="s">
        <v>453</v>
      </c>
      <c r="R178" s="30" t="s">
        <v>613</v>
      </c>
      <c r="S178" s="30" t="s">
        <v>729</v>
      </c>
      <c r="T178" s="68">
        <v>962.1</v>
      </c>
      <c r="U178" s="68">
        <v>240</v>
      </c>
      <c r="V178" s="30" t="s">
        <v>398</v>
      </c>
      <c r="W178" s="30">
        <v>10</v>
      </c>
      <c r="X178" s="30" t="str">
        <f t="shared" si="6"/>
        <v>PERT_10㎜保温_10</v>
      </c>
      <c r="Y178" s="59">
        <v>855</v>
      </c>
    </row>
    <row r="179" spans="17:25">
      <c r="Q179" s="30" t="s">
        <v>453</v>
      </c>
      <c r="R179" s="30" t="s">
        <v>615</v>
      </c>
      <c r="S179" s="30" t="s">
        <v>730</v>
      </c>
      <c r="T179" s="68">
        <v>1520.5</v>
      </c>
      <c r="U179" s="68">
        <v>400</v>
      </c>
      <c r="V179" s="30" t="s">
        <v>398</v>
      </c>
      <c r="W179" s="30">
        <v>13</v>
      </c>
      <c r="X179" s="30" t="str">
        <f t="shared" si="6"/>
        <v>PERT_10㎜保温_13</v>
      </c>
      <c r="Y179" s="59">
        <v>1075</v>
      </c>
    </row>
    <row r="180" spans="17:25">
      <c r="Q180" s="30" t="s">
        <v>453</v>
      </c>
      <c r="R180" s="30" t="s">
        <v>617</v>
      </c>
      <c r="S180" s="30" t="s">
        <v>731</v>
      </c>
      <c r="T180" s="68">
        <v>2042.8</v>
      </c>
      <c r="U180" s="68">
        <v>600</v>
      </c>
      <c r="V180" s="30" t="s">
        <v>170</v>
      </c>
      <c r="W180" s="30">
        <v>10</v>
      </c>
      <c r="X180" s="30" t="str">
        <f t="shared" si="6"/>
        <v>金属強化ポリエチレン管_10</v>
      </c>
      <c r="Y180" s="59">
        <v>456</v>
      </c>
    </row>
    <row r="181" spans="17:25">
      <c r="Q181" s="30" t="s">
        <v>453</v>
      </c>
      <c r="R181" s="30" t="s">
        <v>619</v>
      </c>
      <c r="S181" s="30" t="s">
        <v>732</v>
      </c>
      <c r="T181" s="68">
        <v>2826</v>
      </c>
      <c r="U181" s="68">
        <v>800</v>
      </c>
      <c r="V181" s="30" t="s">
        <v>170</v>
      </c>
      <c r="W181" s="30">
        <v>13</v>
      </c>
      <c r="X181" s="30" t="str">
        <f t="shared" si="6"/>
        <v>金属強化ポリエチレン管_13</v>
      </c>
      <c r="Y181" s="59">
        <v>535</v>
      </c>
    </row>
    <row r="182" spans="17:25">
      <c r="Q182" s="30" t="s">
        <v>453</v>
      </c>
      <c r="R182" s="30" t="s">
        <v>621</v>
      </c>
      <c r="S182" s="30" t="s">
        <v>733</v>
      </c>
      <c r="T182" s="68">
        <v>3316.7</v>
      </c>
      <c r="U182" s="68">
        <v>1000</v>
      </c>
      <c r="V182" s="30" t="s">
        <v>170</v>
      </c>
      <c r="W182" s="30">
        <v>16</v>
      </c>
      <c r="X182" s="30" t="str">
        <f t="shared" si="6"/>
        <v>金属強化ポリエチレン管_16</v>
      </c>
      <c r="Y182" s="59">
        <v>712</v>
      </c>
    </row>
    <row r="183" spans="17:25">
      <c r="Q183" s="30" t="s">
        <v>734</v>
      </c>
      <c r="R183" s="30" t="s">
        <v>683</v>
      </c>
      <c r="S183" s="30" t="s">
        <v>735</v>
      </c>
      <c r="T183" s="68">
        <v>4069.5</v>
      </c>
      <c r="U183" s="68">
        <v>1300</v>
      </c>
      <c r="V183" s="30" t="s">
        <v>170</v>
      </c>
      <c r="W183" s="30">
        <v>20</v>
      </c>
      <c r="X183" s="30" t="str">
        <f t="shared" si="6"/>
        <v>金属強化ポリエチレン管_20</v>
      </c>
      <c r="Y183" s="59">
        <v>968</v>
      </c>
    </row>
    <row r="184" spans="17:25">
      <c r="Q184" s="30" t="s">
        <v>459</v>
      </c>
      <c r="R184" s="30" t="s">
        <v>553</v>
      </c>
      <c r="S184" s="30" t="s">
        <v>736</v>
      </c>
      <c r="T184" s="68">
        <v>240.5</v>
      </c>
      <c r="U184" s="68">
        <v>16</v>
      </c>
      <c r="V184" s="30" t="s">
        <v>170</v>
      </c>
      <c r="W184" s="30">
        <v>25</v>
      </c>
      <c r="X184" s="30" t="str">
        <f t="shared" si="6"/>
        <v>金属強化ポリエチレン管_25</v>
      </c>
      <c r="Y184" s="59">
        <v>1392</v>
      </c>
    </row>
    <row r="185" spans="17:25">
      <c r="Q185" s="30" t="s">
        <v>459</v>
      </c>
      <c r="R185" s="30" t="s">
        <v>555</v>
      </c>
      <c r="S185" s="30" t="s">
        <v>737</v>
      </c>
      <c r="T185" s="68">
        <v>283.5</v>
      </c>
      <c r="U185" s="68">
        <v>28</v>
      </c>
      <c r="V185" s="30" t="s">
        <v>171</v>
      </c>
      <c r="W185" s="30">
        <v>10</v>
      </c>
      <c r="X185" s="30" t="str">
        <f t="shared" si="6"/>
        <v>金属強化ポリエチレン管_10㎜保温_10</v>
      </c>
      <c r="Y185" s="59">
        <v>1527</v>
      </c>
    </row>
    <row r="186" spans="17:25">
      <c r="Q186" s="30" t="s">
        <v>459</v>
      </c>
      <c r="R186" s="30" t="s">
        <v>557</v>
      </c>
      <c r="S186" s="30" t="s">
        <v>738</v>
      </c>
      <c r="T186" s="68">
        <v>380.1</v>
      </c>
      <c r="U186" s="68">
        <v>44</v>
      </c>
      <c r="V186" s="30" t="s">
        <v>171</v>
      </c>
      <c r="W186" s="30">
        <v>13</v>
      </c>
      <c r="X186" s="30" t="str">
        <f t="shared" si="6"/>
        <v>金属強化ポリエチレン管_10㎜保温_13</v>
      </c>
      <c r="Y186" s="59">
        <v>1669</v>
      </c>
    </row>
    <row r="187" spans="17:25">
      <c r="Q187" s="30" t="s">
        <v>459</v>
      </c>
      <c r="R187" s="30" t="s">
        <v>559</v>
      </c>
      <c r="S187" s="30" t="s">
        <v>739</v>
      </c>
      <c r="T187" s="68">
        <v>530.9</v>
      </c>
      <c r="U187" s="68">
        <v>76</v>
      </c>
      <c r="V187" s="30" t="s">
        <v>171</v>
      </c>
      <c r="W187" s="30">
        <v>16</v>
      </c>
      <c r="X187" s="30" t="str">
        <f t="shared" si="6"/>
        <v>金属強化ポリエチレン管_10㎜保温_16</v>
      </c>
      <c r="Y187" s="59">
        <v>1971</v>
      </c>
    </row>
    <row r="188" spans="17:25">
      <c r="Q188" s="30" t="s">
        <v>459</v>
      </c>
      <c r="R188" s="30" t="s">
        <v>561</v>
      </c>
      <c r="S188" s="30" t="s">
        <v>740</v>
      </c>
      <c r="T188" s="68">
        <v>754.8</v>
      </c>
      <c r="U188" s="68">
        <v>120</v>
      </c>
      <c r="V188" s="30" t="s">
        <v>171</v>
      </c>
      <c r="W188" s="30">
        <v>20</v>
      </c>
      <c r="X188" s="30" t="str">
        <f t="shared" si="6"/>
        <v>金属強化ポリエチレン管_10㎜保温_20</v>
      </c>
      <c r="Y188" s="59">
        <v>2384</v>
      </c>
    </row>
    <row r="189" spans="17:25">
      <c r="Q189" s="30" t="s">
        <v>459</v>
      </c>
      <c r="R189" s="30" t="s">
        <v>563</v>
      </c>
      <c r="S189" s="30" t="s">
        <v>741</v>
      </c>
      <c r="T189" s="68">
        <v>1134.0999999999999</v>
      </c>
      <c r="U189" s="68">
        <v>200</v>
      </c>
      <c r="V189" s="30" t="s">
        <v>171</v>
      </c>
      <c r="W189" s="30">
        <v>25</v>
      </c>
      <c r="X189" s="30" t="str">
        <f t="shared" si="6"/>
        <v>金属強化ポリエチレン管_10㎜保温_25</v>
      </c>
      <c r="Y189" s="59">
        <v>3029</v>
      </c>
    </row>
    <row r="190" spans="17:25">
      <c r="Q190" s="30" t="s">
        <v>459</v>
      </c>
      <c r="R190" s="30" t="s">
        <v>565</v>
      </c>
      <c r="S190" s="30" t="s">
        <v>742</v>
      </c>
      <c r="T190" s="68">
        <v>1520.5</v>
      </c>
      <c r="U190" s="68">
        <v>300</v>
      </c>
      <c r="V190" s="30" t="s">
        <v>172</v>
      </c>
      <c r="W190" s="30">
        <v>10</v>
      </c>
      <c r="X190" s="30" t="str">
        <f t="shared" si="6"/>
        <v>金属強化ポリエチレン管_20㎜保温_10</v>
      </c>
      <c r="Y190" s="59">
        <v>3227</v>
      </c>
    </row>
    <row r="191" spans="17:25">
      <c r="Q191" s="30" t="s">
        <v>459</v>
      </c>
      <c r="R191" s="30" t="s">
        <v>567</v>
      </c>
      <c r="S191" s="30" t="s">
        <v>743</v>
      </c>
      <c r="T191" s="68">
        <v>2042.8</v>
      </c>
      <c r="U191" s="68">
        <v>400</v>
      </c>
      <c r="V191" s="30" t="s">
        <v>172</v>
      </c>
      <c r="W191" s="30">
        <v>13</v>
      </c>
      <c r="X191" s="30" t="str">
        <f t="shared" si="6"/>
        <v>金属強化ポリエチレン管_20㎜保温_13</v>
      </c>
      <c r="Y191" s="59">
        <v>3432</v>
      </c>
    </row>
    <row r="192" spans="17:25">
      <c r="Q192" s="30" t="s">
        <v>459</v>
      </c>
      <c r="R192" s="30" t="s">
        <v>569</v>
      </c>
      <c r="S192" s="30" t="s">
        <v>744</v>
      </c>
      <c r="T192" s="68">
        <v>2463</v>
      </c>
      <c r="U192" s="68">
        <v>500</v>
      </c>
      <c r="V192" s="30" t="s">
        <v>172</v>
      </c>
      <c r="W192" s="30">
        <v>16</v>
      </c>
      <c r="X192" s="30" t="str">
        <f t="shared" si="6"/>
        <v>金属強化ポリエチレン管_20㎜保温_16</v>
      </c>
      <c r="Y192" s="59">
        <v>3859</v>
      </c>
    </row>
    <row r="193" spans="17:25">
      <c r="Q193" s="30" t="s">
        <v>459</v>
      </c>
      <c r="R193" s="30" t="s">
        <v>571</v>
      </c>
      <c r="S193" s="30" t="s">
        <v>745</v>
      </c>
      <c r="T193" s="68">
        <v>2922.5</v>
      </c>
      <c r="U193" s="68">
        <v>650</v>
      </c>
      <c r="V193" s="30" t="s">
        <v>172</v>
      </c>
      <c r="W193" s="30">
        <v>20</v>
      </c>
      <c r="X193" s="30" t="str">
        <f t="shared" si="6"/>
        <v>金属強化ポリエチレン管_20㎜保温_20</v>
      </c>
      <c r="Y193" s="59">
        <v>4430</v>
      </c>
    </row>
    <row r="194" spans="17:25">
      <c r="Q194" s="30" t="s">
        <v>461</v>
      </c>
      <c r="R194" s="30" t="s">
        <v>579</v>
      </c>
      <c r="S194" s="30" t="s">
        <v>746</v>
      </c>
      <c r="T194" s="68">
        <v>268.8</v>
      </c>
      <c r="U194" s="68">
        <v>24</v>
      </c>
      <c r="V194" s="30" t="s">
        <v>172</v>
      </c>
      <c r="W194" s="30">
        <v>25</v>
      </c>
      <c r="X194" s="30" t="str">
        <f t="shared" si="6"/>
        <v>金属強化ポリエチレン管_20㎜保温_25</v>
      </c>
      <c r="Y194" s="59">
        <v>5294</v>
      </c>
    </row>
    <row r="195" spans="17:25">
      <c r="Q195" s="30" t="s">
        <v>460</v>
      </c>
      <c r="R195" s="30" t="s">
        <v>581</v>
      </c>
      <c r="S195" s="30" t="s">
        <v>747</v>
      </c>
      <c r="T195" s="68">
        <v>346.4</v>
      </c>
      <c r="U195" s="68">
        <v>42</v>
      </c>
      <c r="V195" s="30" t="s">
        <v>174</v>
      </c>
      <c r="W195" s="30">
        <v>10</v>
      </c>
      <c r="X195" s="30" t="str">
        <f t="shared" si="6"/>
        <v>高耐熱フッ素樹脂ホース_10㎜保温_10</v>
      </c>
      <c r="Y195" s="59">
        <v>940</v>
      </c>
    </row>
    <row r="196" spans="17:25">
      <c r="Q196" s="30" t="s">
        <v>460</v>
      </c>
      <c r="R196" s="30" t="s">
        <v>583</v>
      </c>
      <c r="S196" s="30" t="s">
        <v>748</v>
      </c>
      <c r="T196" s="68">
        <v>452.4</v>
      </c>
      <c r="U196" s="68">
        <v>66</v>
      </c>
      <c r="V196" s="30" t="s">
        <v>175</v>
      </c>
      <c r="W196" s="30">
        <v>13</v>
      </c>
      <c r="X196" s="30" t="str">
        <f t="shared" si="6"/>
        <v>VP_13</v>
      </c>
      <c r="Y196" s="59">
        <v>254</v>
      </c>
    </row>
    <row r="197" spans="17:25">
      <c r="Q197" s="30" t="s">
        <v>460</v>
      </c>
      <c r="R197" s="30" t="s">
        <v>585</v>
      </c>
      <c r="S197" s="30" t="s">
        <v>749</v>
      </c>
      <c r="T197" s="68">
        <v>615.79999999999995</v>
      </c>
      <c r="U197" s="68">
        <v>114</v>
      </c>
      <c r="V197" s="30" t="s">
        <v>175</v>
      </c>
      <c r="W197" s="30">
        <v>16</v>
      </c>
      <c r="X197" s="30" t="str">
        <f t="shared" ref="X197:X260" si="7">V197&amp;"_"&amp;W197</f>
        <v>VP_16</v>
      </c>
      <c r="Y197" s="59">
        <v>380</v>
      </c>
    </row>
    <row r="198" spans="17:25">
      <c r="Q198" s="30" t="s">
        <v>460</v>
      </c>
      <c r="R198" s="30" t="s">
        <v>587</v>
      </c>
      <c r="S198" s="30" t="s">
        <v>750</v>
      </c>
      <c r="T198" s="68">
        <v>855.3</v>
      </c>
      <c r="U198" s="68">
        <v>180</v>
      </c>
      <c r="V198" s="30" t="s">
        <v>175</v>
      </c>
      <c r="W198" s="30">
        <v>20</v>
      </c>
      <c r="X198" s="30" t="str">
        <f t="shared" si="7"/>
        <v>VP_20</v>
      </c>
      <c r="Y198" s="59">
        <v>531</v>
      </c>
    </row>
    <row r="199" spans="17:25">
      <c r="Q199" s="30" t="s">
        <v>460</v>
      </c>
      <c r="R199" s="30" t="s">
        <v>589</v>
      </c>
      <c r="S199" s="30" t="s">
        <v>751</v>
      </c>
      <c r="T199" s="68">
        <v>1320.3</v>
      </c>
      <c r="U199" s="68">
        <v>300</v>
      </c>
      <c r="V199" s="30" t="s">
        <v>175</v>
      </c>
      <c r="W199" s="30">
        <v>25</v>
      </c>
      <c r="X199" s="30" t="str">
        <f t="shared" si="7"/>
        <v>VP_25</v>
      </c>
      <c r="Y199" s="59">
        <v>804</v>
      </c>
    </row>
    <row r="200" spans="17:25">
      <c r="Q200" s="30" t="s">
        <v>460</v>
      </c>
      <c r="R200" s="30" t="s">
        <v>591</v>
      </c>
      <c r="S200" s="30" t="s">
        <v>752</v>
      </c>
      <c r="T200" s="68">
        <v>1734.9</v>
      </c>
      <c r="U200" s="68">
        <v>450</v>
      </c>
      <c r="V200" s="30" t="s">
        <v>175</v>
      </c>
      <c r="W200" s="30">
        <v>30</v>
      </c>
      <c r="X200" s="30" t="str">
        <f t="shared" si="7"/>
        <v>VP_30</v>
      </c>
      <c r="Y200" s="59">
        <v>1134</v>
      </c>
    </row>
    <row r="201" spans="17:25">
      <c r="Q201" s="30" t="s">
        <v>460</v>
      </c>
      <c r="R201" s="30" t="s">
        <v>593</v>
      </c>
      <c r="S201" s="30" t="s">
        <v>753</v>
      </c>
      <c r="T201" s="68">
        <v>2375.8000000000002</v>
      </c>
      <c r="U201" s="68">
        <v>600</v>
      </c>
      <c r="V201" s="30" t="s">
        <v>175</v>
      </c>
      <c r="W201" s="30">
        <v>40</v>
      </c>
      <c r="X201" s="30" t="str">
        <f t="shared" si="7"/>
        <v>VP_40</v>
      </c>
      <c r="Y201" s="59">
        <v>1810</v>
      </c>
    </row>
    <row r="202" spans="17:25">
      <c r="Q202" s="30" t="s">
        <v>460</v>
      </c>
      <c r="R202" s="30" t="s">
        <v>595</v>
      </c>
      <c r="S202" s="30" t="s">
        <v>754</v>
      </c>
      <c r="T202" s="68">
        <v>2827.4</v>
      </c>
      <c r="U202" s="68">
        <v>750</v>
      </c>
      <c r="V202" s="30" t="s">
        <v>175</v>
      </c>
      <c r="W202" s="30">
        <v>50</v>
      </c>
      <c r="X202" s="30" t="str">
        <f t="shared" si="7"/>
        <v>VP_50</v>
      </c>
      <c r="Y202" s="59">
        <v>2827</v>
      </c>
    </row>
    <row r="203" spans="17:25">
      <c r="Q203" s="30" t="s">
        <v>460</v>
      </c>
      <c r="R203" s="30" t="s">
        <v>597</v>
      </c>
      <c r="S203" s="30" t="s">
        <v>755</v>
      </c>
      <c r="T203" s="68">
        <v>3421.2</v>
      </c>
      <c r="U203" s="68">
        <v>975</v>
      </c>
      <c r="V203" s="30" t="s">
        <v>175</v>
      </c>
      <c r="W203" s="30">
        <v>65</v>
      </c>
      <c r="X203" s="30" t="str">
        <f t="shared" si="7"/>
        <v>VP_65</v>
      </c>
      <c r="Y203" s="59">
        <v>4536</v>
      </c>
    </row>
    <row r="204" spans="17:25">
      <c r="Q204" s="30" t="s">
        <v>463</v>
      </c>
      <c r="R204" s="30" t="s">
        <v>607</v>
      </c>
      <c r="S204" s="30" t="s">
        <v>756</v>
      </c>
      <c r="T204" s="68">
        <v>415.5</v>
      </c>
      <c r="U204" s="68">
        <v>56</v>
      </c>
      <c r="V204" s="30" t="s">
        <v>175</v>
      </c>
      <c r="W204" s="30">
        <v>75</v>
      </c>
      <c r="X204" s="30" t="str">
        <f t="shared" si="7"/>
        <v>VP_75</v>
      </c>
      <c r="Y204" s="59">
        <v>6221</v>
      </c>
    </row>
    <row r="205" spans="17:25">
      <c r="Q205" s="30" t="s">
        <v>462</v>
      </c>
      <c r="R205" s="30" t="s">
        <v>609</v>
      </c>
      <c r="S205" s="30" t="s">
        <v>757</v>
      </c>
      <c r="T205" s="68">
        <v>572.6</v>
      </c>
      <c r="U205" s="68">
        <v>88</v>
      </c>
      <c r="V205" s="30" t="s">
        <v>175</v>
      </c>
      <c r="W205" s="30">
        <v>100</v>
      </c>
      <c r="X205" s="30" t="str">
        <f t="shared" si="7"/>
        <v>VP_100</v>
      </c>
      <c r="Y205" s="59">
        <v>10207</v>
      </c>
    </row>
    <row r="206" spans="17:25">
      <c r="Q206" s="30" t="s">
        <v>462</v>
      </c>
      <c r="R206" s="30" t="s">
        <v>611</v>
      </c>
      <c r="S206" s="30" t="s">
        <v>758</v>
      </c>
      <c r="T206" s="68">
        <v>754.8</v>
      </c>
      <c r="U206" s="68">
        <v>152</v>
      </c>
      <c r="V206" s="30" t="s">
        <v>176</v>
      </c>
      <c r="W206" s="30">
        <v>13</v>
      </c>
      <c r="X206" s="30" t="str">
        <f t="shared" si="7"/>
        <v>VP_10㎜保温_13</v>
      </c>
      <c r="Y206" s="59">
        <v>1134</v>
      </c>
    </row>
    <row r="207" spans="17:25">
      <c r="Q207" s="30" t="s">
        <v>462</v>
      </c>
      <c r="R207" s="30" t="s">
        <v>613</v>
      </c>
      <c r="S207" s="30" t="s">
        <v>759</v>
      </c>
      <c r="T207" s="68">
        <v>1075.2</v>
      </c>
      <c r="U207" s="68">
        <v>240</v>
      </c>
      <c r="V207" s="30" t="s">
        <v>176</v>
      </c>
      <c r="W207" s="30">
        <v>16</v>
      </c>
      <c r="X207" s="30" t="str">
        <f t="shared" si="7"/>
        <v>VP_10㎜保温_16</v>
      </c>
      <c r="Y207" s="59">
        <v>1385</v>
      </c>
    </row>
    <row r="208" spans="17:25">
      <c r="Q208" s="30" t="s">
        <v>462</v>
      </c>
      <c r="R208" s="30" t="s">
        <v>615</v>
      </c>
      <c r="S208" s="30" t="s">
        <v>760</v>
      </c>
      <c r="T208" s="68">
        <v>1661.9</v>
      </c>
      <c r="U208" s="68">
        <v>400</v>
      </c>
      <c r="V208" s="30" t="s">
        <v>176</v>
      </c>
      <c r="W208" s="30">
        <v>20</v>
      </c>
      <c r="X208" s="30" t="str">
        <f t="shared" si="7"/>
        <v>VP_10㎜保温_20</v>
      </c>
      <c r="Y208" s="59">
        <v>1662</v>
      </c>
    </row>
    <row r="209" spans="17:25">
      <c r="Q209" s="30" t="s">
        <v>462</v>
      </c>
      <c r="R209" s="30" t="s">
        <v>617</v>
      </c>
      <c r="S209" s="30" t="s">
        <v>761</v>
      </c>
      <c r="T209" s="68">
        <v>2206.1999999999998</v>
      </c>
      <c r="U209" s="68">
        <v>600</v>
      </c>
      <c r="V209" s="30" t="s">
        <v>176</v>
      </c>
      <c r="W209" s="30">
        <v>25</v>
      </c>
      <c r="X209" s="30" t="str">
        <f t="shared" si="7"/>
        <v>VP_10㎜保温_25</v>
      </c>
      <c r="Y209" s="59">
        <v>2124</v>
      </c>
    </row>
    <row r="210" spans="17:25">
      <c r="Q210" s="30" t="s">
        <v>462</v>
      </c>
      <c r="R210" s="30" t="s">
        <v>619</v>
      </c>
      <c r="S210" s="30" t="s">
        <v>762</v>
      </c>
      <c r="T210" s="68">
        <v>3019.1</v>
      </c>
      <c r="U210" s="68">
        <v>800</v>
      </c>
      <c r="V210" s="30" t="s">
        <v>176</v>
      </c>
      <c r="W210" s="30">
        <v>30</v>
      </c>
      <c r="X210" s="30" t="str">
        <f t="shared" si="7"/>
        <v>VP_10㎜保温_30</v>
      </c>
      <c r="Y210" s="59">
        <v>2642</v>
      </c>
    </row>
    <row r="211" spans="17:25">
      <c r="Q211" s="30" t="s">
        <v>462</v>
      </c>
      <c r="R211" s="30" t="s">
        <v>621</v>
      </c>
      <c r="S211" s="30" t="s">
        <v>763</v>
      </c>
      <c r="T211" s="68">
        <v>3525.7</v>
      </c>
      <c r="U211" s="68">
        <v>1000</v>
      </c>
      <c r="V211" s="30" t="s">
        <v>176</v>
      </c>
      <c r="W211" s="30">
        <v>40</v>
      </c>
      <c r="X211" s="30" t="str">
        <f t="shared" si="7"/>
        <v>VP_10㎜保温_40</v>
      </c>
      <c r="Y211" s="59">
        <v>3632</v>
      </c>
    </row>
    <row r="212" spans="17:25">
      <c r="Q212" s="30" t="s">
        <v>462</v>
      </c>
      <c r="R212" s="30" t="s">
        <v>683</v>
      </c>
      <c r="S212" s="30" t="s">
        <v>764</v>
      </c>
      <c r="T212" s="68">
        <v>4300.8</v>
      </c>
      <c r="U212" s="68">
        <v>1300</v>
      </c>
      <c r="V212" s="30" t="s">
        <v>176</v>
      </c>
      <c r="W212" s="30">
        <v>50</v>
      </c>
      <c r="X212" s="30" t="str">
        <f t="shared" si="7"/>
        <v>VP_10㎜保温_50</v>
      </c>
      <c r="Y212" s="59">
        <v>5027</v>
      </c>
    </row>
    <row r="213" spans="17:25">
      <c r="Q213" s="30" t="s">
        <v>464</v>
      </c>
      <c r="R213" s="30" t="s">
        <v>765</v>
      </c>
      <c r="S213" s="30" t="s">
        <v>766</v>
      </c>
      <c r="T213" s="68">
        <v>59</v>
      </c>
      <c r="U213" s="68">
        <v>4.0199999999999996</v>
      </c>
      <c r="V213" s="30" t="s">
        <v>176</v>
      </c>
      <c r="W213" s="30">
        <v>65</v>
      </c>
      <c r="X213" s="30" t="str">
        <f t="shared" si="7"/>
        <v>VP_10㎜保温_65</v>
      </c>
      <c r="Y213" s="59">
        <v>7238</v>
      </c>
    </row>
    <row r="214" spans="17:25">
      <c r="Q214" s="30" t="s">
        <v>464</v>
      </c>
      <c r="R214" s="30" t="s">
        <v>767</v>
      </c>
      <c r="S214" s="30" t="s">
        <v>768</v>
      </c>
      <c r="T214" s="68">
        <v>70</v>
      </c>
      <c r="U214" s="68">
        <v>6.29</v>
      </c>
      <c r="V214" s="30" t="s">
        <v>176</v>
      </c>
      <c r="W214" s="30">
        <v>75</v>
      </c>
      <c r="X214" s="30" t="str">
        <f t="shared" si="7"/>
        <v>VP_10㎜保温_75</v>
      </c>
      <c r="Y214" s="59">
        <v>9331</v>
      </c>
    </row>
    <row r="215" spans="17:25">
      <c r="Q215" s="30" t="s">
        <v>464</v>
      </c>
      <c r="R215" s="30" t="s">
        <v>769</v>
      </c>
      <c r="S215" s="30" t="s">
        <v>770</v>
      </c>
      <c r="T215" s="68">
        <v>95</v>
      </c>
      <c r="U215" s="68">
        <v>10.62</v>
      </c>
      <c r="V215" s="30" t="s">
        <v>176</v>
      </c>
      <c r="W215" s="30">
        <v>100</v>
      </c>
      <c r="X215" s="30" t="str">
        <f t="shared" si="7"/>
        <v>VP_10㎜保温_100</v>
      </c>
      <c r="Y215" s="59">
        <v>14103</v>
      </c>
    </row>
    <row r="216" spans="17:25">
      <c r="Q216" s="30" t="s">
        <v>464</v>
      </c>
      <c r="R216" s="30" t="s">
        <v>771</v>
      </c>
      <c r="S216" s="30" t="s">
        <v>772</v>
      </c>
      <c r="T216" s="68">
        <v>81</v>
      </c>
      <c r="U216" s="68">
        <v>6.0299999999999994</v>
      </c>
      <c r="V216" s="30" t="s">
        <v>177</v>
      </c>
      <c r="W216" s="30">
        <v>13</v>
      </c>
      <c r="X216" s="30" t="str">
        <f t="shared" si="7"/>
        <v>VP_20㎜保温_13</v>
      </c>
      <c r="Y216" s="59">
        <v>2642</v>
      </c>
    </row>
    <row r="217" spans="17:25">
      <c r="Q217" s="30" t="s">
        <v>464</v>
      </c>
      <c r="R217" s="30" t="s">
        <v>773</v>
      </c>
      <c r="S217" s="30" t="s">
        <v>774</v>
      </c>
      <c r="T217" s="68">
        <v>93</v>
      </c>
      <c r="U217" s="68">
        <v>9.43</v>
      </c>
      <c r="V217" s="30" t="s">
        <v>177</v>
      </c>
      <c r="W217" s="30">
        <v>16</v>
      </c>
      <c r="X217" s="30" t="str">
        <f t="shared" si="7"/>
        <v>VP_20㎜保温_16</v>
      </c>
      <c r="Y217" s="59">
        <v>3019</v>
      </c>
    </row>
    <row r="218" spans="17:25">
      <c r="Q218" s="30" t="s">
        <v>464</v>
      </c>
      <c r="R218" s="30" t="s">
        <v>775</v>
      </c>
      <c r="S218" s="30" t="s">
        <v>776</v>
      </c>
      <c r="T218" s="68">
        <v>130</v>
      </c>
      <c r="U218" s="68">
        <v>15.93</v>
      </c>
      <c r="V218" s="30" t="s">
        <v>177</v>
      </c>
      <c r="W218" s="30">
        <v>20</v>
      </c>
      <c r="X218" s="30" t="str">
        <f t="shared" si="7"/>
        <v>VP_20㎜保温_20</v>
      </c>
      <c r="Y218" s="59">
        <v>3421</v>
      </c>
    </row>
    <row r="219" spans="17:25">
      <c r="Q219" s="30" t="s">
        <v>466</v>
      </c>
      <c r="R219" s="30" t="s">
        <v>529</v>
      </c>
      <c r="S219" s="30" t="s">
        <v>777</v>
      </c>
      <c r="T219" s="68">
        <v>240.5</v>
      </c>
      <c r="U219" s="68">
        <v>14</v>
      </c>
      <c r="V219" s="30" t="s">
        <v>177</v>
      </c>
      <c r="W219" s="30">
        <v>25</v>
      </c>
      <c r="X219" s="30" t="str">
        <f t="shared" si="7"/>
        <v>VP_20㎜保温_25</v>
      </c>
      <c r="Y219" s="59">
        <v>4072</v>
      </c>
    </row>
    <row r="220" spans="17:25">
      <c r="Q220" s="30" t="s">
        <v>466</v>
      </c>
      <c r="R220" s="30" t="s">
        <v>531</v>
      </c>
      <c r="S220" s="30" t="s">
        <v>778</v>
      </c>
      <c r="T220" s="68">
        <v>268.8</v>
      </c>
      <c r="U220" s="68">
        <v>22</v>
      </c>
      <c r="V220" s="30" t="s">
        <v>177</v>
      </c>
      <c r="W220" s="30">
        <v>30</v>
      </c>
      <c r="X220" s="30" t="str">
        <f t="shared" si="7"/>
        <v>VP_20㎜保温_30</v>
      </c>
      <c r="Y220" s="59">
        <v>4778</v>
      </c>
    </row>
    <row r="221" spans="17:25">
      <c r="Q221" s="30" t="s">
        <v>466</v>
      </c>
      <c r="R221" s="30" t="s">
        <v>533</v>
      </c>
      <c r="S221" s="30" t="s">
        <v>779</v>
      </c>
      <c r="T221" s="68">
        <v>346.4</v>
      </c>
      <c r="U221" s="68">
        <v>38</v>
      </c>
      <c r="V221" s="30" t="s">
        <v>177</v>
      </c>
      <c r="W221" s="30">
        <v>40</v>
      </c>
      <c r="X221" s="30" t="str">
        <f t="shared" si="7"/>
        <v>VP_20㎜保温_40</v>
      </c>
      <c r="Y221" s="59">
        <v>6082</v>
      </c>
    </row>
    <row r="222" spans="17:25">
      <c r="Q222" s="30" t="s">
        <v>466</v>
      </c>
      <c r="R222" s="30" t="s">
        <v>535</v>
      </c>
      <c r="S222" s="30" t="s">
        <v>780</v>
      </c>
      <c r="T222" s="68">
        <v>415.5</v>
      </c>
      <c r="U222" s="68">
        <v>60</v>
      </c>
      <c r="V222" s="30" t="s">
        <v>177</v>
      </c>
      <c r="W222" s="30">
        <v>50</v>
      </c>
      <c r="X222" s="30" t="str">
        <f t="shared" si="7"/>
        <v>VP_20㎜保温_50</v>
      </c>
      <c r="Y222" s="59">
        <v>7854</v>
      </c>
    </row>
    <row r="223" spans="17:25">
      <c r="Q223" s="30" t="s">
        <v>466</v>
      </c>
      <c r="R223" s="30" t="s">
        <v>537</v>
      </c>
      <c r="S223" s="30" t="s">
        <v>781</v>
      </c>
      <c r="T223" s="68">
        <v>530.9</v>
      </c>
      <c r="U223" s="68">
        <v>100</v>
      </c>
      <c r="V223" s="30" t="s">
        <v>177</v>
      </c>
      <c r="W223" s="30">
        <v>65</v>
      </c>
      <c r="X223" s="30" t="str">
        <f t="shared" si="7"/>
        <v>VP_20㎜保温_65</v>
      </c>
      <c r="Y223" s="59">
        <v>10568</v>
      </c>
    </row>
    <row r="224" spans="17:25">
      <c r="Q224" s="30" t="s">
        <v>466</v>
      </c>
      <c r="R224" s="30" t="s">
        <v>539</v>
      </c>
      <c r="S224" s="30" t="s">
        <v>782</v>
      </c>
      <c r="T224" s="68">
        <v>660.5</v>
      </c>
      <c r="U224" s="68">
        <v>150</v>
      </c>
      <c r="V224" s="30" t="s">
        <v>177</v>
      </c>
      <c r="W224" s="30">
        <v>75</v>
      </c>
      <c r="X224" s="30" t="str">
        <f t="shared" si="7"/>
        <v>VP_20㎜保温_75</v>
      </c>
      <c r="Y224" s="59">
        <v>13070</v>
      </c>
    </row>
    <row r="225" spans="17:25">
      <c r="Q225" s="30" t="s">
        <v>466</v>
      </c>
      <c r="R225" s="30" t="s">
        <v>541</v>
      </c>
      <c r="S225" s="30" t="s">
        <v>783</v>
      </c>
      <c r="T225" s="68">
        <v>804.2</v>
      </c>
      <c r="U225" s="68">
        <v>200</v>
      </c>
      <c r="V225" s="30" t="s">
        <v>177</v>
      </c>
      <c r="W225" s="30">
        <v>100</v>
      </c>
      <c r="X225" s="30" t="str">
        <f t="shared" si="7"/>
        <v>VP_20㎜保温_100</v>
      </c>
      <c r="Y225" s="59">
        <v>18627</v>
      </c>
    </row>
    <row r="226" spans="17:25">
      <c r="Q226" s="30" t="s">
        <v>466</v>
      </c>
      <c r="R226" s="30" t="s">
        <v>543</v>
      </c>
      <c r="S226" s="30" t="s">
        <v>784</v>
      </c>
      <c r="T226" s="68">
        <v>962.1</v>
      </c>
      <c r="U226" s="68">
        <v>250</v>
      </c>
      <c r="V226" s="30" t="s">
        <v>179</v>
      </c>
      <c r="W226" s="30">
        <v>13</v>
      </c>
      <c r="X226" s="30" t="str">
        <f t="shared" si="7"/>
        <v>HT_13</v>
      </c>
      <c r="Y226" s="59">
        <v>254</v>
      </c>
    </row>
    <row r="227" spans="17:25">
      <c r="Q227" s="30" t="s">
        <v>466</v>
      </c>
      <c r="R227" s="30" t="s">
        <v>545</v>
      </c>
      <c r="S227" s="30" t="s">
        <v>785</v>
      </c>
      <c r="T227" s="68">
        <v>1134.0999999999999</v>
      </c>
      <c r="U227" s="68">
        <v>325</v>
      </c>
      <c r="V227" s="30" t="s">
        <v>179</v>
      </c>
      <c r="W227" s="30">
        <v>16</v>
      </c>
      <c r="X227" s="30" t="str">
        <f t="shared" si="7"/>
        <v>HT_16</v>
      </c>
      <c r="Y227" s="59">
        <v>380</v>
      </c>
    </row>
    <row r="228" spans="17:25">
      <c r="Q228" s="30" t="s">
        <v>466</v>
      </c>
      <c r="R228" s="30" t="s">
        <v>581</v>
      </c>
      <c r="S228" s="30" t="s">
        <v>786</v>
      </c>
      <c r="T228" s="68">
        <v>907.9</v>
      </c>
      <c r="U228" s="68">
        <v>42</v>
      </c>
      <c r="V228" s="30" t="s">
        <v>179</v>
      </c>
      <c r="W228" s="30">
        <v>20</v>
      </c>
      <c r="X228" s="30" t="str">
        <f t="shared" si="7"/>
        <v>HT_20</v>
      </c>
      <c r="Y228" s="59">
        <v>531</v>
      </c>
    </row>
    <row r="229" spans="17:25">
      <c r="Q229" s="30" t="s">
        <v>466</v>
      </c>
      <c r="R229" s="30" t="s">
        <v>583</v>
      </c>
      <c r="S229" s="30" t="s">
        <v>787</v>
      </c>
      <c r="T229" s="68">
        <v>1075.2</v>
      </c>
      <c r="U229" s="68">
        <v>66</v>
      </c>
      <c r="V229" s="30" t="s">
        <v>179</v>
      </c>
      <c r="W229" s="30">
        <v>25</v>
      </c>
      <c r="X229" s="30" t="str">
        <f t="shared" si="7"/>
        <v>HT_25</v>
      </c>
      <c r="Y229" s="59">
        <v>804</v>
      </c>
    </row>
    <row r="230" spans="17:25">
      <c r="Q230" s="30" t="s">
        <v>466</v>
      </c>
      <c r="R230" s="30" t="s">
        <v>585</v>
      </c>
      <c r="S230" s="30" t="s">
        <v>788</v>
      </c>
      <c r="T230" s="68">
        <v>1320.3</v>
      </c>
      <c r="U230" s="68">
        <v>114</v>
      </c>
      <c r="V230" s="30" t="s">
        <v>179</v>
      </c>
      <c r="W230" s="30">
        <v>30</v>
      </c>
      <c r="X230" s="30" t="str">
        <f t="shared" si="7"/>
        <v>HT_30</v>
      </c>
      <c r="Y230" s="59">
        <v>1134</v>
      </c>
    </row>
    <row r="231" spans="17:25">
      <c r="Q231" s="30" t="s">
        <v>466</v>
      </c>
      <c r="R231" s="30" t="s">
        <v>587</v>
      </c>
      <c r="S231" s="30" t="s">
        <v>789</v>
      </c>
      <c r="T231" s="68">
        <v>1661.9</v>
      </c>
      <c r="U231" s="68">
        <v>180</v>
      </c>
      <c r="V231" s="30" t="s">
        <v>179</v>
      </c>
      <c r="W231" s="30">
        <v>40</v>
      </c>
      <c r="X231" s="30" t="str">
        <f t="shared" si="7"/>
        <v>HT_40</v>
      </c>
      <c r="Y231" s="59">
        <v>1810</v>
      </c>
    </row>
    <row r="232" spans="17:25">
      <c r="Q232" s="30" t="s">
        <v>466</v>
      </c>
      <c r="R232" s="30" t="s">
        <v>589</v>
      </c>
      <c r="S232" s="30" t="s">
        <v>790</v>
      </c>
      <c r="T232" s="68">
        <v>2123.6999999999998</v>
      </c>
      <c r="U232" s="68">
        <v>300</v>
      </c>
      <c r="V232" s="30" t="s">
        <v>180</v>
      </c>
      <c r="W232" s="30">
        <v>13</v>
      </c>
      <c r="X232" s="30" t="str">
        <f t="shared" si="7"/>
        <v>HT_10㎜保温_13</v>
      </c>
      <c r="Y232" s="59">
        <v>1134</v>
      </c>
    </row>
    <row r="233" spans="17:25">
      <c r="Q233" s="30" t="s">
        <v>466</v>
      </c>
      <c r="R233" s="30" t="s">
        <v>591</v>
      </c>
      <c r="S233" s="30" t="s">
        <v>791</v>
      </c>
      <c r="T233" s="68">
        <v>2642.1</v>
      </c>
      <c r="U233" s="68">
        <v>450</v>
      </c>
      <c r="V233" s="30" t="s">
        <v>360</v>
      </c>
      <c r="W233" s="30">
        <v>16</v>
      </c>
      <c r="X233" s="30" t="str">
        <f t="shared" si="7"/>
        <v>HT_10㎜保温_16</v>
      </c>
      <c r="Y233" s="59">
        <v>1385</v>
      </c>
    </row>
    <row r="234" spans="17:25">
      <c r="Q234" s="30" t="s">
        <v>466</v>
      </c>
      <c r="R234" s="30" t="s">
        <v>593</v>
      </c>
      <c r="S234" s="30" t="s">
        <v>792</v>
      </c>
      <c r="T234" s="68">
        <v>3421.2</v>
      </c>
      <c r="U234" s="68">
        <v>600</v>
      </c>
      <c r="V234" s="30" t="s">
        <v>360</v>
      </c>
      <c r="W234" s="30">
        <v>20</v>
      </c>
      <c r="X234" s="30" t="str">
        <f t="shared" si="7"/>
        <v>HT_10㎜保温_20</v>
      </c>
      <c r="Y234" s="59">
        <v>1662</v>
      </c>
    </row>
    <row r="235" spans="17:25">
      <c r="Q235" s="30" t="s">
        <v>466</v>
      </c>
      <c r="R235" s="30" t="s">
        <v>595</v>
      </c>
      <c r="S235" s="30" t="s">
        <v>793</v>
      </c>
      <c r="T235" s="68">
        <v>3959.2</v>
      </c>
      <c r="U235" s="68">
        <v>750</v>
      </c>
      <c r="V235" s="30" t="s">
        <v>360</v>
      </c>
      <c r="W235" s="30">
        <v>25</v>
      </c>
      <c r="X235" s="30" t="str">
        <f t="shared" si="7"/>
        <v>HT_10㎜保温_25</v>
      </c>
      <c r="Y235" s="59">
        <v>2124</v>
      </c>
    </row>
    <row r="236" spans="17:25">
      <c r="Q236" s="30" t="s">
        <v>466</v>
      </c>
      <c r="R236" s="30" t="s">
        <v>597</v>
      </c>
      <c r="S236" s="30" t="s">
        <v>794</v>
      </c>
      <c r="T236" s="68">
        <v>4656.6000000000004</v>
      </c>
      <c r="U236" s="68">
        <v>975</v>
      </c>
      <c r="V236" s="30" t="s">
        <v>360</v>
      </c>
      <c r="W236" s="30">
        <v>30</v>
      </c>
      <c r="X236" s="30" t="str">
        <f t="shared" si="7"/>
        <v>HT_10㎜保温_30</v>
      </c>
      <c r="Y236" s="59">
        <v>2642</v>
      </c>
    </row>
    <row r="237" spans="17:25">
      <c r="Q237" s="30" t="s">
        <v>467</v>
      </c>
      <c r="R237" s="30" t="s">
        <v>795</v>
      </c>
      <c r="S237" s="30" t="s">
        <v>796</v>
      </c>
      <c r="T237" s="68">
        <v>1134.0999999999999</v>
      </c>
      <c r="U237" s="68">
        <v>42</v>
      </c>
      <c r="V237" s="30" t="s">
        <v>360</v>
      </c>
      <c r="W237" s="30">
        <v>40</v>
      </c>
      <c r="X237" s="30" t="str">
        <f t="shared" si="7"/>
        <v>HT_10㎜保温_40</v>
      </c>
      <c r="Y237" s="59">
        <v>3632</v>
      </c>
    </row>
    <row r="238" spans="17:25">
      <c r="Q238" s="30" t="s">
        <v>467</v>
      </c>
      <c r="R238" s="30" t="s">
        <v>797</v>
      </c>
      <c r="S238" s="30" t="s">
        <v>798</v>
      </c>
      <c r="T238" s="68">
        <v>1320.3</v>
      </c>
      <c r="U238" s="68">
        <v>66</v>
      </c>
      <c r="V238" s="30" t="s">
        <v>181</v>
      </c>
      <c r="W238" s="30">
        <v>13</v>
      </c>
      <c r="X238" s="30" t="str">
        <f t="shared" si="7"/>
        <v>HT_20㎜保温_13</v>
      </c>
      <c r="Y238" s="59">
        <v>2642</v>
      </c>
    </row>
    <row r="239" spans="17:25">
      <c r="Q239" s="30" t="s">
        <v>467</v>
      </c>
      <c r="R239" s="30" t="s">
        <v>799</v>
      </c>
      <c r="S239" s="30" t="s">
        <v>800</v>
      </c>
      <c r="T239" s="68">
        <v>1590.4</v>
      </c>
      <c r="U239" s="68">
        <v>114</v>
      </c>
      <c r="V239" s="30" t="s">
        <v>361</v>
      </c>
      <c r="W239" s="30">
        <v>16</v>
      </c>
      <c r="X239" s="30" t="str">
        <f t="shared" si="7"/>
        <v>HT_20㎜保温_16</v>
      </c>
      <c r="Y239" s="59">
        <v>3019</v>
      </c>
    </row>
    <row r="240" spans="17:25">
      <c r="Q240" s="30" t="s">
        <v>467</v>
      </c>
      <c r="R240" s="30" t="s">
        <v>801</v>
      </c>
      <c r="S240" s="30" t="s">
        <v>802</v>
      </c>
      <c r="T240" s="68">
        <v>1963.5</v>
      </c>
      <c r="U240" s="68">
        <v>180</v>
      </c>
      <c r="V240" s="30" t="s">
        <v>361</v>
      </c>
      <c r="W240" s="30">
        <v>20</v>
      </c>
      <c r="X240" s="30" t="str">
        <f t="shared" si="7"/>
        <v>HT_20㎜保温_20</v>
      </c>
      <c r="Y240" s="59">
        <v>3421</v>
      </c>
    </row>
    <row r="241" spans="17:25">
      <c r="Q241" s="30" t="s">
        <v>467</v>
      </c>
      <c r="R241" s="30" t="s">
        <v>803</v>
      </c>
      <c r="S241" s="30" t="s">
        <v>804</v>
      </c>
      <c r="T241" s="68">
        <v>2463</v>
      </c>
      <c r="U241" s="68">
        <v>300</v>
      </c>
      <c r="V241" s="30" t="s">
        <v>361</v>
      </c>
      <c r="W241" s="30">
        <v>25</v>
      </c>
      <c r="X241" s="30" t="str">
        <f t="shared" si="7"/>
        <v>HT_20㎜保温_25</v>
      </c>
      <c r="Y241" s="59">
        <v>4072</v>
      </c>
    </row>
    <row r="242" spans="17:25">
      <c r="Q242" s="30" t="s">
        <v>467</v>
      </c>
      <c r="R242" s="30" t="s">
        <v>805</v>
      </c>
      <c r="S242" s="30" t="s">
        <v>806</v>
      </c>
      <c r="T242" s="68">
        <v>3117.2</v>
      </c>
      <c r="U242" s="68">
        <v>450</v>
      </c>
      <c r="V242" s="30" t="s">
        <v>361</v>
      </c>
      <c r="W242" s="30">
        <v>30</v>
      </c>
      <c r="X242" s="30" t="str">
        <f t="shared" si="7"/>
        <v>HT_20㎜保温_30</v>
      </c>
      <c r="Y242" s="59">
        <v>4778</v>
      </c>
    </row>
    <row r="243" spans="17:25">
      <c r="Q243" s="30" t="s">
        <v>467</v>
      </c>
      <c r="R243" s="30" t="s">
        <v>807</v>
      </c>
      <c r="S243" s="30" t="s">
        <v>808</v>
      </c>
      <c r="T243" s="68">
        <v>3959.2</v>
      </c>
      <c r="U243" s="68">
        <v>600</v>
      </c>
      <c r="V243" s="30" t="s">
        <v>361</v>
      </c>
      <c r="W243" s="30">
        <v>40</v>
      </c>
      <c r="X243" s="30" t="str">
        <f t="shared" si="7"/>
        <v>HT_20㎜保温_40</v>
      </c>
      <c r="Y243" s="59">
        <v>6082</v>
      </c>
    </row>
    <row r="244" spans="17:25">
      <c r="Q244" s="30" t="s">
        <v>467</v>
      </c>
      <c r="R244" s="30" t="s">
        <v>809</v>
      </c>
      <c r="S244" s="30" t="s">
        <v>810</v>
      </c>
      <c r="T244" s="68">
        <v>4536.5</v>
      </c>
      <c r="U244" s="68">
        <v>750</v>
      </c>
      <c r="V244" s="30" t="s">
        <v>182</v>
      </c>
      <c r="W244" s="30">
        <v>40</v>
      </c>
      <c r="X244" s="30" t="str">
        <f t="shared" si="7"/>
        <v>VU_40</v>
      </c>
      <c r="Y244" s="59">
        <v>1810</v>
      </c>
    </row>
    <row r="245" spans="17:25">
      <c r="Q245" s="30" t="s">
        <v>467</v>
      </c>
      <c r="R245" s="30" t="s">
        <v>811</v>
      </c>
      <c r="S245" s="30" t="s">
        <v>812</v>
      </c>
      <c r="T245" s="68">
        <v>5281</v>
      </c>
      <c r="U245" s="68">
        <v>975</v>
      </c>
      <c r="V245" s="30" t="s">
        <v>182</v>
      </c>
      <c r="W245" s="30">
        <v>50</v>
      </c>
      <c r="X245" s="30" t="str">
        <f t="shared" si="7"/>
        <v>VU_50</v>
      </c>
      <c r="Y245" s="59">
        <v>2827</v>
      </c>
    </row>
    <row r="246" spans="17:25">
      <c r="Q246" s="30" t="s">
        <v>468</v>
      </c>
      <c r="R246" s="30" t="s">
        <v>813</v>
      </c>
      <c r="S246" s="30" t="s">
        <v>814</v>
      </c>
      <c r="T246" s="68">
        <v>6.2</v>
      </c>
      <c r="U246" s="68">
        <v>1.1299999999999999</v>
      </c>
      <c r="V246" s="30" t="s">
        <v>182</v>
      </c>
      <c r="W246" s="30">
        <v>65</v>
      </c>
      <c r="X246" s="30" t="str">
        <f t="shared" si="7"/>
        <v>VU_65</v>
      </c>
      <c r="Y246" s="59">
        <v>4536</v>
      </c>
    </row>
    <row r="247" spans="17:25">
      <c r="Q247" s="30" t="s">
        <v>468</v>
      </c>
      <c r="R247" s="30" t="s">
        <v>475</v>
      </c>
      <c r="S247" s="30" t="s">
        <v>815</v>
      </c>
      <c r="T247" s="68">
        <v>8</v>
      </c>
      <c r="U247" s="68">
        <v>2.0099999999999998</v>
      </c>
      <c r="V247" s="30" t="s">
        <v>182</v>
      </c>
      <c r="W247" s="30">
        <v>75</v>
      </c>
      <c r="X247" s="30" t="str">
        <f t="shared" si="7"/>
        <v>VU_75</v>
      </c>
      <c r="Y247" s="59">
        <v>6221</v>
      </c>
    </row>
    <row r="248" spans="17:25">
      <c r="Q248" s="30" t="s">
        <v>468</v>
      </c>
      <c r="R248" s="63" t="s">
        <v>816</v>
      </c>
      <c r="S248" s="30" t="s">
        <v>817</v>
      </c>
      <c r="T248" s="68">
        <v>10.199999999999999</v>
      </c>
      <c r="U248" s="68">
        <v>3.14</v>
      </c>
      <c r="V248" s="30" t="s">
        <v>182</v>
      </c>
      <c r="W248" s="30">
        <v>100</v>
      </c>
      <c r="X248" s="30" t="str">
        <f t="shared" si="7"/>
        <v>VU_100</v>
      </c>
      <c r="Y248" s="59">
        <v>10207</v>
      </c>
    </row>
    <row r="249" spans="17:25">
      <c r="Q249" s="30" t="s">
        <v>468</v>
      </c>
      <c r="R249" s="30" t="s">
        <v>479</v>
      </c>
      <c r="S249" s="30" t="s">
        <v>818</v>
      </c>
      <c r="T249" s="68">
        <v>16.600000000000001</v>
      </c>
      <c r="U249" s="68">
        <v>5.31</v>
      </c>
      <c r="V249" s="30" t="s">
        <v>183</v>
      </c>
      <c r="W249" s="30">
        <v>40</v>
      </c>
      <c r="X249" s="30" t="str">
        <f t="shared" si="7"/>
        <v>VU_10㎜保温_40</v>
      </c>
      <c r="Y249" s="59">
        <v>3632</v>
      </c>
    </row>
    <row r="250" spans="17:25">
      <c r="Q250" s="30" t="s">
        <v>468</v>
      </c>
      <c r="R250" s="30" t="s">
        <v>819</v>
      </c>
      <c r="S250" s="30" t="s">
        <v>820</v>
      </c>
      <c r="T250" s="68">
        <v>7.1</v>
      </c>
      <c r="U250" s="68">
        <v>1.25</v>
      </c>
      <c r="V250" s="30" t="s">
        <v>362</v>
      </c>
      <c r="W250" s="30">
        <v>50</v>
      </c>
      <c r="X250" s="30" t="str">
        <f t="shared" si="7"/>
        <v>VU_10㎜保温_50</v>
      </c>
      <c r="Y250" s="59">
        <v>5027</v>
      </c>
    </row>
    <row r="251" spans="17:25">
      <c r="Q251" s="30" t="s">
        <v>468</v>
      </c>
      <c r="R251" s="30" t="s">
        <v>821</v>
      </c>
      <c r="S251" s="30" t="s">
        <v>822</v>
      </c>
      <c r="T251" s="68">
        <v>9.1</v>
      </c>
      <c r="U251" s="68">
        <v>2</v>
      </c>
      <c r="V251" s="30" t="s">
        <v>362</v>
      </c>
      <c r="W251" s="30">
        <v>65</v>
      </c>
      <c r="X251" s="30" t="str">
        <f t="shared" si="7"/>
        <v>VU_10㎜保温_65</v>
      </c>
      <c r="Y251" s="59">
        <v>7238</v>
      </c>
    </row>
    <row r="252" spans="17:25">
      <c r="Q252" s="30" t="s">
        <v>468</v>
      </c>
      <c r="R252" s="30" t="s">
        <v>485</v>
      </c>
      <c r="S252" s="30" t="s">
        <v>823</v>
      </c>
      <c r="T252" s="68">
        <v>12.6</v>
      </c>
      <c r="U252" s="68">
        <v>3.5</v>
      </c>
      <c r="V252" s="30" t="s">
        <v>362</v>
      </c>
      <c r="W252" s="30">
        <v>75</v>
      </c>
      <c r="X252" s="30" t="str">
        <f t="shared" si="7"/>
        <v>VU_10㎜保温_75</v>
      </c>
      <c r="Y252" s="59">
        <v>9331</v>
      </c>
    </row>
    <row r="253" spans="17:25">
      <c r="Q253" s="30" t="s">
        <v>468</v>
      </c>
      <c r="R253" s="30" t="s">
        <v>487</v>
      </c>
      <c r="S253" s="30" t="s">
        <v>824</v>
      </c>
      <c r="T253" s="68">
        <v>19.600000000000001</v>
      </c>
      <c r="U253" s="68">
        <v>5.5</v>
      </c>
      <c r="V253" s="30" t="s">
        <v>362</v>
      </c>
      <c r="W253" s="30">
        <v>100</v>
      </c>
      <c r="X253" s="30" t="str">
        <f t="shared" si="7"/>
        <v>VU_10㎜保温_100</v>
      </c>
      <c r="Y253" s="59">
        <v>14103</v>
      </c>
    </row>
    <row r="254" spans="17:25">
      <c r="Q254" s="30" t="s">
        <v>468</v>
      </c>
      <c r="R254" s="30" t="s">
        <v>489</v>
      </c>
      <c r="S254" s="30" t="s">
        <v>825</v>
      </c>
      <c r="T254" s="68">
        <v>24.6</v>
      </c>
      <c r="U254" s="68">
        <v>8</v>
      </c>
      <c r="V254" s="30" t="s">
        <v>184</v>
      </c>
      <c r="W254" s="30">
        <v>40</v>
      </c>
      <c r="X254" s="30" t="str">
        <f t="shared" si="7"/>
        <v>VU_20㎜保温_40</v>
      </c>
      <c r="Y254" s="59">
        <v>6082</v>
      </c>
    </row>
    <row r="255" spans="17:25">
      <c r="Q255" s="30" t="s">
        <v>468</v>
      </c>
      <c r="R255" s="30" t="s">
        <v>491</v>
      </c>
      <c r="S255" s="30" t="s">
        <v>826</v>
      </c>
      <c r="T255" s="68">
        <v>36.299999999999997</v>
      </c>
      <c r="U255" s="68">
        <v>14</v>
      </c>
      <c r="V255" s="30" t="s">
        <v>363</v>
      </c>
      <c r="W255" s="30">
        <v>50</v>
      </c>
      <c r="X255" s="30" t="str">
        <f t="shared" si="7"/>
        <v>VU_20㎜保温_50</v>
      </c>
      <c r="Y255" s="59">
        <v>7854</v>
      </c>
    </row>
    <row r="256" spans="17:25">
      <c r="Q256" s="30" t="s">
        <v>468</v>
      </c>
      <c r="R256" s="30" t="s">
        <v>493</v>
      </c>
      <c r="S256" s="30" t="s">
        <v>827</v>
      </c>
      <c r="T256" s="68">
        <v>55.4</v>
      </c>
      <c r="U256" s="68">
        <v>22</v>
      </c>
      <c r="V256" s="30" t="s">
        <v>363</v>
      </c>
      <c r="W256" s="30">
        <v>65</v>
      </c>
      <c r="X256" s="30" t="str">
        <f t="shared" si="7"/>
        <v>VU_20㎜保温_65</v>
      </c>
      <c r="Y256" s="59">
        <v>10568</v>
      </c>
    </row>
    <row r="257" spans="17:25">
      <c r="Q257" s="30" t="s">
        <v>468</v>
      </c>
      <c r="R257" s="30" t="s">
        <v>495</v>
      </c>
      <c r="S257" s="30" t="s">
        <v>828</v>
      </c>
      <c r="T257" s="68">
        <v>86.6</v>
      </c>
      <c r="U257" s="68">
        <v>38</v>
      </c>
      <c r="V257" s="30" t="s">
        <v>363</v>
      </c>
      <c r="W257" s="30">
        <v>75</v>
      </c>
      <c r="X257" s="30" t="str">
        <f t="shared" si="7"/>
        <v>VU_20㎜保温_75</v>
      </c>
      <c r="Y257" s="59">
        <v>13070</v>
      </c>
    </row>
    <row r="258" spans="17:25">
      <c r="Q258" s="30" t="s">
        <v>468</v>
      </c>
      <c r="R258" s="30" t="s">
        <v>497</v>
      </c>
      <c r="S258" s="30" t="s">
        <v>829</v>
      </c>
      <c r="T258" s="68">
        <v>132.69999999999999</v>
      </c>
      <c r="U258" s="68">
        <v>60</v>
      </c>
      <c r="V258" s="30" t="s">
        <v>363</v>
      </c>
      <c r="W258" s="30">
        <v>100</v>
      </c>
      <c r="X258" s="30" t="str">
        <f t="shared" si="7"/>
        <v>VU_20㎜保温_100</v>
      </c>
      <c r="Y258" s="59">
        <v>18627</v>
      </c>
    </row>
    <row r="259" spans="17:25">
      <c r="Q259" s="30" t="s">
        <v>468</v>
      </c>
      <c r="R259" s="30" t="s">
        <v>499</v>
      </c>
      <c r="S259" s="30" t="s">
        <v>830</v>
      </c>
      <c r="T259" s="68">
        <v>227</v>
      </c>
      <c r="U259" s="68">
        <v>100</v>
      </c>
      <c r="V259" s="30" t="s">
        <v>185</v>
      </c>
      <c r="W259" s="30">
        <v>50</v>
      </c>
      <c r="X259" s="30" t="str">
        <f t="shared" si="7"/>
        <v>SU_50</v>
      </c>
      <c r="Y259" s="59">
        <v>2290</v>
      </c>
    </row>
    <row r="260" spans="17:25">
      <c r="Q260" s="30" t="s">
        <v>468</v>
      </c>
      <c r="R260" s="30" t="s">
        <v>501</v>
      </c>
      <c r="S260" s="30" t="s">
        <v>831</v>
      </c>
      <c r="T260" s="68">
        <v>346.4</v>
      </c>
      <c r="U260" s="68">
        <v>150</v>
      </c>
      <c r="V260" s="30" t="s">
        <v>185</v>
      </c>
      <c r="W260" s="30">
        <v>65</v>
      </c>
      <c r="X260" s="30" t="str">
        <f t="shared" si="7"/>
        <v>SU_65</v>
      </c>
      <c r="Y260" s="59">
        <v>3632</v>
      </c>
    </row>
    <row r="261" spans="17:25">
      <c r="Q261" s="30" t="s">
        <v>468</v>
      </c>
      <c r="R261" s="30" t="s">
        <v>503</v>
      </c>
      <c r="S261" s="30" t="s">
        <v>832</v>
      </c>
      <c r="T261" s="68">
        <v>452.4</v>
      </c>
      <c r="U261" s="68">
        <v>200</v>
      </c>
      <c r="V261" s="30" t="s">
        <v>185</v>
      </c>
      <c r="W261" s="30">
        <v>75</v>
      </c>
      <c r="X261" s="30" t="str">
        <f t="shared" ref="X261:X295" si="8">V261&amp;"_"&amp;W261</f>
        <v>SU_75</v>
      </c>
      <c r="Y261" s="59">
        <v>5027</v>
      </c>
    </row>
    <row r="262" spans="17:25">
      <c r="Q262" s="30" t="s">
        <v>468</v>
      </c>
      <c r="R262" s="30" t="s">
        <v>505</v>
      </c>
      <c r="S262" s="30" t="s">
        <v>833</v>
      </c>
      <c r="T262" s="68">
        <v>530.9</v>
      </c>
      <c r="U262" s="68">
        <v>250</v>
      </c>
      <c r="V262" s="30" t="s">
        <v>185</v>
      </c>
      <c r="W262" s="30">
        <v>100</v>
      </c>
      <c r="X262" s="30" t="str">
        <f t="shared" si="8"/>
        <v>SU_100</v>
      </c>
      <c r="Y262" s="59">
        <v>8825</v>
      </c>
    </row>
    <row r="263" spans="17:25">
      <c r="Q263" s="30" t="s">
        <v>468</v>
      </c>
      <c r="R263" s="30" t="s">
        <v>507</v>
      </c>
      <c r="S263" s="30" t="s">
        <v>834</v>
      </c>
      <c r="T263" s="68">
        <v>660.5</v>
      </c>
      <c r="U263" s="68">
        <v>325</v>
      </c>
      <c r="V263" s="30" t="s">
        <v>186</v>
      </c>
      <c r="W263" s="30">
        <v>50</v>
      </c>
      <c r="X263" s="30" t="str">
        <f t="shared" si="8"/>
        <v>SU_10㎜保温_50</v>
      </c>
      <c r="Y263" s="59">
        <v>4301</v>
      </c>
    </row>
    <row r="264" spans="17:25">
      <c r="V264" s="30" t="s">
        <v>364</v>
      </c>
      <c r="W264" s="30">
        <v>65</v>
      </c>
      <c r="X264" s="30" t="str">
        <f t="shared" si="8"/>
        <v>SU_10㎜保温_65</v>
      </c>
      <c r="Y264" s="59">
        <v>6082</v>
      </c>
    </row>
    <row r="265" spans="17:25">
      <c r="V265" s="30" t="s">
        <v>364</v>
      </c>
      <c r="W265" s="30">
        <v>75</v>
      </c>
      <c r="X265" s="30" t="str">
        <f t="shared" si="8"/>
        <v>SU_10㎜保温_75</v>
      </c>
      <c r="Y265" s="59">
        <v>7854</v>
      </c>
    </row>
    <row r="266" spans="17:25">
      <c r="V266" s="30" t="s">
        <v>364</v>
      </c>
      <c r="W266" s="30">
        <v>100</v>
      </c>
      <c r="X266" s="30" t="str">
        <f t="shared" si="8"/>
        <v>SU_10㎜保温_100</v>
      </c>
      <c r="Y266" s="59">
        <v>12469</v>
      </c>
    </row>
    <row r="267" spans="17:25">
      <c r="V267" s="30" t="s">
        <v>188</v>
      </c>
      <c r="W267" s="30">
        <v>50</v>
      </c>
      <c r="X267" s="30" t="str">
        <f t="shared" si="8"/>
        <v>SU_20㎜保温_50</v>
      </c>
      <c r="Y267" s="59">
        <v>6940</v>
      </c>
    </row>
    <row r="268" spans="17:25">
      <c r="V268" s="30" t="s">
        <v>365</v>
      </c>
      <c r="W268" s="30">
        <v>65</v>
      </c>
      <c r="X268" s="30" t="str">
        <f t="shared" si="8"/>
        <v>SU_20㎜保温_65</v>
      </c>
      <c r="Y268" s="59">
        <v>9161</v>
      </c>
    </row>
    <row r="269" spans="17:25">
      <c r="V269" s="30" t="s">
        <v>365</v>
      </c>
      <c r="W269" s="30">
        <v>75</v>
      </c>
      <c r="X269" s="30" t="str">
        <f t="shared" si="8"/>
        <v>SU_20㎜保温_75</v>
      </c>
      <c r="Y269" s="59">
        <v>11310</v>
      </c>
    </row>
    <row r="270" spans="17:25">
      <c r="V270" s="30" t="s">
        <v>365</v>
      </c>
      <c r="W270" s="30">
        <v>100</v>
      </c>
      <c r="X270" s="30" t="str">
        <f t="shared" si="8"/>
        <v>SU_20㎜保温_100</v>
      </c>
      <c r="Y270" s="59">
        <v>16742</v>
      </c>
    </row>
    <row r="271" spans="17:25">
      <c r="V271" s="30" t="s">
        <v>190</v>
      </c>
      <c r="W271" s="30">
        <v>40</v>
      </c>
      <c r="X271" s="30" t="str">
        <f t="shared" si="8"/>
        <v>リサイクル硬質塩ビ三層管_40</v>
      </c>
      <c r="Y271" s="59">
        <v>1810</v>
      </c>
    </row>
    <row r="272" spans="17:25">
      <c r="V272" s="30" t="s">
        <v>190</v>
      </c>
      <c r="W272" s="30">
        <v>50</v>
      </c>
      <c r="X272" s="30" t="str">
        <f t="shared" si="8"/>
        <v>リサイクル硬質塩ビ三層管_50</v>
      </c>
      <c r="Y272" s="59">
        <v>2827</v>
      </c>
    </row>
    <row r="273" spans="22:26">
      <c r="V273" s="30" t="s">
        <v>190</v>
      </c>
      <c r="W273" s="30">
        <v>65</v>
      </c>
      <c r="X273" s="30" t="str">
        <f t="shared" si="8"/>
        <v>リサイクル硬質塩ビ三層管_65</v>
      </c>
      <c r="Y273" s="59">
        <v>4536</v>
      </c>
    </row>
    <row r="274" spans="22:26">
      <c r="V274" s="30" t="s">
        <v>190</v>
      </c>
      <c r="W274" s="30">
        <v>75</v>
      </c>
      <c r="X274" s="30" t="str">
        <f t="shared" si="8"/>
        <v>リサイクル硬質塩ビ三層管_75</v>
      </c>
      <c r="Y274" s="59">
        <v>6221</v>
      </c>
    </row>
    <row r="275" spans="22:26">
      <c r="V275" s="30" t="s">
        <v>191</v>
      </c>
      <c r="W275" s="30">
        <v>6</v>
      </c>
      <c r="X275" s="30" t="str">
        <f t="shared" si="8"/>
        <v>SGP_6</v>
      </c>
      <c r="Y275" s="59">
        <v>87</v>
      </c>
    </row>
    <row r="276" spans="22:26">
      <c r="V276" s="30" t="s">
        <v>191</v>
      </c>
      <c r="W276" s="30">
        <v>8</v>
      </c>
      <c r="X276" s="30" t="str">
        <f t="shared" si="8"/>
        <v>SGP_8</v>
      </c>
      <c r="Y276" s="59">
        <v>150</v>
      </c>
    </row>
    <row r="277" spans="22:26">
      <c r="V277" s="30" t="s">
        <v>191</v>
      </c>
      <c r="W277" s="30">
        <v>10</v>
      </c>
      <c r="X277" s="30" t="str">
        <f t="shared" si="8"/>
        <v>SGP_10</v>
      </c>
      <c r="Y277" s="59">
        <v>235</v>
      </c>
    </row>
    <row r="278" spans="22:26">
      <c r="V278" s="30" t="s">
        <v>191</v>
      </c>
      <c r="W278" s="30">
        <v>15</v>
      </c>
      <c r="X278" s="30" t="str">
        <f t="shared" si="8"/>
        <v>SGP_15</v>
      </c>
      <c r="Y278" s="59">
        <v>370</v>
      </c>
    </row>
    <row r="279" spans="22:26">
      <c r="V279" s="30" t="s">
        <v>191</v>
      </c>
      <c r="W279" s="30">
        <v>20</v>
      </c>
      <c r="X279" s="30" t="str">
        <f t="shared" si="8"/>
        <v>SGP_20</v>
      </c>
      <c r="Y279" s="59">
        <v>581</v>
      </c>
    </row>
    <row r="280" spans="22:26">
      <c r="V280" s="30" t="s">
        <v>191</v>
      </c>
      <c r="W280" s="30">
        <v>25</v>
      </c>
      <c r="X280" s="30" t="str">
        <f t="shared" si="8"/>
        <v>SGP_25</v>
      </c>
      <c r="Y280" s="59">
        <v>908</v>
      </c>
    </row>
    <row r="281" spans="22:26">
      <c r="V281" s="30" t="s">
        <v>191</v>
      </c>
      <c r="W281" s="30">
        <v>32</v>
      </c>
      <c r="X281" s="30" t="str">
        <f t="shared" si="8"/>
        <v>SGP_32</v>
      </c>
      <c r="Y281" s="59">
        <v>1432</v>
      </c>
    </row>
    <row r="282" spans="22:26">
      <c r="V282" s="30" t="s">
        <v>191</v>
      </c>
      <c r="W282" s="30">
        <v>40</v>
      </c>
      <c r="X282" s="30" t="str">
        <f t="shared" si="8"/>
        <v>SGP_40</v>
      </c>
      <c r="Y282" s="59">
        <v>1855</v>
      </c>
    </row>
    <row r="283" spans="22:26">
      <c r="V283" s="30" t="s">
        <v>191</v>
      </c>
      <c r="W283" s="30">
        <v>50</v>
      </c>
      <c r="X283" s="30" t="str">
        <f t="shared" si="8"/>
        <v>SGP_50</v>
      </c>
      <c r="Y283" s="59">
        <v>2880</v>
      </c>
      <c r="Z283" s="30">
        <v>1</v>
      </c>
    </row>
    <row r="284" spans="22:26">
      <c r="V284" s="30" t="s">
        <v>191</v>
      </c>
      <c r="W284" s="30">
        <v>65</v>
      </c>
      <c r="X284" s="30" t="str">
        <f t="shared" si="8"/>
        <v>SGP_65</v>
      </c>
      <c r="Y284" s="59">
        <v>4572</v>
      </c>
      <c r="Z284" s="30">
        <v>1</v>
      </c>
    </row>
    <row r="285" spans="22:26">
      <c r="V285" s="30" t="s">
        <v>191</v>
      </c>
      <c r="W285" s="30">
        <v>80</v>
      </c>
      <c r="X285" s="30" t="str">
        <f t="shared" si="8"/>
        <v>SGP_80</v>
      </c>
      <c r="Y285" s="59">
        <v>6235</v>
      </c>
      <c r="Z285" s="30">
        <v>1</v>
      </c>
    </row>
    <row r="286" spans="22:26">
      <c r="V286" s="30" t="s">
        <v>191</v>
      </c>
      <c r="W286" s="30">
        <v>90</v>
      </c>
      <c r="X286" s="30" t="str">
        <f t="shared" si="8"/>
        <v>SGP_90</v>
      </c>
      <c r="Y286" s="59">
        <v>8107</v>
      </c>
      <c r="Z286" s="30">
        <v>2</v>
      </c>
    </row>
    <row r="287" spans="22:26">
      <c r="V287" s="30" t="s">
        <v>191</v>
      </c>
      <c r="W287" s="30">
        <v>100</v>
      </c>
      <c r="X287" s="30" t="str">
        <f t="shared" si="8"/>
        <v>SGP_100</v>
      </c>
      <c r="Y287" s="59">
        <v>10261</v>
      </c>
      <c r="Z287" s="30">
        <v>2</v>
      </c>
    </row>
    <row r="288" spans="22:26">
      <c r="V288" s="30" t="s">
        <v>192</v>
      </c>
      <c r="W288" s="30">
        <v>6</v>
      </c>
      <c r="X288" s="30" t="str">
        <f t="shared" si="8"/>
        <v>SGP_10㎜保温_6</v>
      </c>
      <c r="Y288" s="59">
        <v>731</v>
      </c>
    </row>
    <row r="289" spans="18:25">
      <c r="V289" s="30" t="s">
        <v>366</v>
      </c>
      <c r="W289" s="30">
        <v>8</v>
      </c>
      <c r="X289" s="30" t="str">
        <f t="shared" si="8"/>
        <v>SGP_10㎜保温_8</v>
      </c>
      <c r="Y289" s="59">
        <v>897</v>
      </c>
    </row>
    <row r="290" spans="18:25">
      <c r="V290" s="30" t="s">
        <v>366</v>
      </c>
      <c r="W290" s="30">
        <v>10</v>
      </c>
      <c r="X290" s="30" t="str">
        <f t="shared" si="8"/>
        <v>SGP_10㎜保温_10</v>
      </c>
      <c r="Y290" s="59">
        <v>1093</v>
      </c>
    </row>
    <row r="291" spans="18:25">
      <c r="R291" s="63"/>
      <c r="V291" s="30" t="s">
        <v>366</v>
      </c>
      <c r="W291" s="30">
        <v>15</v>
      </c>
      <c r="X291" s="30" t="str">
        <f t="shared" si="8"/>
        <v>SGP_10㎜保温_15</v>
      </c>
      <c r="Y291" s="59">
        <v>1366</v>
      </c>
    </row>
    <row r="292" spans="18:25">
      <c r="V292" s="30" t="s">
        <v>366</v>
      </c>
      <c r="W292" s="30">
        <v>20</v>
      </c>
      <c r="X292" s="30" t="str">
        <f t="shared" si="8"/>
        <v>SGP_10㎜保温_20</v>
      </c>
      <c r="Y292" s="59">
        <v>1750</v>
      </c>
    </row>
    <row r="293" spans="18:25">
      <c r="V293" s="30" t="s">
        <v>366</v>
      </c>
      <c r="W293" s="30">
        <v>25</v>
      </c>
      <c r="X293" s="30" t="str">
        <f t="shared" si="8"/>
        <v>SGP_10㎜保温_25</v>
      </c>
      <c r="Y293" s="59">
        <v>2290</v>
      </c>
    </row>
    <row r="294" spans="18:25">
      <c r="V294" s="30" t="s">
        <v>366</v>
      </c>
      <c r="W294" s="30">
        <v>32</v>
      </c>
      <c r="X294" s="30" t="str">
        <f t="shared" si="8"/>
        <v>SGP_10㎜保温_32</v>
      </c>
      <c r="Y294" s="59">
        <v>3088</v>
      </c>
    </row>
    <row r="295" spans="18:25">
      <c r="V295" s="30" t="s">
        <v>366</v>
      </c>
      <c r="W295" s="30">
        <v>40</v>
      </c>
      <c r="X295" s="30" t="str">
        <f t="shared" si="8"/>
        <v>SGP_10㎜保温_40</v>
      </c>
      <c r="Y295" s="59">
        <v>3696</v>
      </c>
    </row>
    <row r="296" spans="18:25">
      <c r="V296" s="30" t="s">
        <v>193</v>
      </c>
      <c r="W296" s="30">
        <v>6</v>
      </c>
      <c r="X296" s="30" t="str">
        <f t="shared" ref="X296:X322" si="9">V296&amp;"_"&amp;W296</f>
        <v>SGP_20㎜保温_6</v>
      </c>
      <c r="Y296" s="31">
        <v>2003</v>
      </c>
    </row>
    <row r="297" spans="18:25">
      <c r="V297" s="30" t="s">
        <v>367</v>
      </c>
      <c r="W297" s="30">
        <v>8</v>
      </c>
      <c r="X297" s="30" t="str">
        <f t="shared" si="9"/>
        <v>SGP_20㎜保温_8</v>
      </c>
      <c r="Y297" s="31">
        <v>2273</v>
      </c>
    </row>
    <row r="298" spans="18:25">
      <c r="V298" s="30" t="s">
        <v>367</v>
      </c>
      <c r="W298" s="30">
        <v>10</v>
      </c>
      <c r="X298" s="30" t="str">
        <f t="shared" si="9"/>
        <v>SGP_20㎜保温_10</v>
      </c>
      <c r="Y298" s="31">
        <v>2579</v>
      </c>
    </row>
    <row r="299" spans="18:25">
      <c r="V299" s="30" t="s">
        <v>367</v>
      </c>
      <c r="W299" s="30">
        <v>15</v>
      </c>
      <c r="X299" s="30" t="str">
        <f t="shared" si="9"/>
        <v>SGP_20㎜保温_15</v>
      </c>
      <c r="Y299" s="31">
        <v>2990</v>
      </c>
    </row>
    <row r="300" spans="18:25">
      <c r="V300" s="30" t="s">
        <v>367</v>
      </c>
      <c r="W300" s="30">
        <v>20</v>
      </c>
      <c r="X300" s="30" t="str">
        <f t="shared" si="9"/>
        <v>SGP_20㎜保温_20</v>
      </c>
      <c r="Y300" s="31">
        <v>3547</v>
      </c>
    </row>
    <row r="301" spans="18:25">
      <c r="V301" s="30" t="s">
        <v>367</v>
      </c>
      <c r="W301" s="30">
        <v>25</v>
      </c>
      <c r="X301" s="30" t="str">
        <f t="shared" si="9"/>
        <v>SGP_20㎜保温_25</v>
      </c>
      <c r="Y301" s="31">
        <v>4301</v>
      </c>
    </row>
    <row r="302" spans="18:25">
      <c r="V302" s="30" t="s">
        <v>367</v>
      </c>
      <c r="W302" s="30">
        <v>32</v>
      </c>
      <c r="X302" s="30" t="str">
        <f t="shared" si="9"/>
        <v>SGP_20㎜保温_32</v>
      </c>
      <c r="Y302" s="31">
        <v>5372</v>
      </c>
    </row>
    <row r="303" spans="18:25">
      <c r="V303" s="30" t="s">
        <v>367</v>
      </c>
      <c r="W303" s="30">
        <v>40</v>
      </c>
      <c r="X303" s="30" t="str">
        <f t="shared" si="9"/>
        <v>SGP_20㎜保温_40</v>
      </c>
      <c r="Y303" s="31">
        <v>6165</v>
      </c>
    </row>
    <row r="304" spans="18:25">
      <c r="V304" s="30" t="s">
        <v>194</v>
      </c>
      <c r="W304" s="30">
        <v>8</v>
      </c>
      <c r="X304" s="30" t="str">
        <f t="shared" si="9"/>
        <v>ステンレス鋼管_8</v>
      </c>
      <c r="Y304" s="31">
        <v>71</v>
      </c>
    </row>
    <row r="305" spans="22:26">
      <c r="V305" s="30" t="s">
        <v>194</v>
      </c>
      <c r="W305" s="30">
        <v>10</v>
      </c>
      <c r="X305" s="30" t="str">
        <f t="shared" si="9"/>
        <v>ステンレス鋼管_10</v>
      </c>
      <c r="Y305" s="31">
        <v>127</v>
      </c>
    </row>
    <row r="306" spans="22:26">
      <c r="V306" s="30" t="s">
        <v>194</v>
      </c>
      <c r="W306" s="30">
        <v>13</v>
      </c>
      <c r="X306" s="30" t="str">
        <f t="shared" si="9"/>
        <v>ステンレス鋼管_13</v>
      </c>
      <c r="Y306" s="31">
        <v>198</v>
      </c>
    </row>
    <row r="307" spans="22:26">
      <c r="V307" s="30" t="s">
        <v>194</v>
      </c>
      <c r="W307" s="30">
        <v>20</v>
      </c>
      <c r="X307" s="30" t="str">
        <f t="shared" si="9"/>
        <v>ステンレス鋼管_20</v>
      </c>
      <c r="Y307" s="31">
        <v>388</v>
      </c>
    </row>
    <row r="308" spans="22:26">
      <c r="V308" s="30" t="s">
        <v>194</v>
      </c>
      <c r="W308" s="30">
        <v>25</v>
      </c>
      <c r="X308" s="30" t="str">
        <f t="shared" si="9"/>
        <v>ステンレス鋼管_25</v>
      </c>
      <c r="Y308" s="31">
        <v>642</v>
      </c>
    </row>
    <row r="309" spans="22:26">
      <c r="V309" s="30" t="s">
        <v>194</v>
      </c>
      <c r="W309" s="30">
        <v>30</v>
      </c>
      <c r="X309" s="30" t="str">
        <f t="shared" si="9"/>
        <v>ステンレス鋼管_30</v>
      </c>
      <c r="Y309" s="31">
        <v>908</v>
      </c>
    </row>
    <row r="310" spans="22:26">
      <c r="V310" s="30" t="s">
        <v>194</v>
      </c>
      <c r="W310" s="30">
        <v>40</v>
      </c>
      <c r="X310" s="30" t="str">
        <f t="shared" si="9"/>
        <v>ステンレス鋼管_40</v>
      </c>
      <c r="Y310" s="31">
        <v>1432</v>
      </c>
    </row>
    <row r="311" spans="22:26">
      <c r="V311" s="30" t="s">
        <v>194</v>
      </c>
      <c r="W311" s="30">
        <v>50</v>
      </c>
      <c r="X311" s="30" t="str">
        <f t="shared" si="9"/>
        <v>ステンレス鋼管_50</v>
      </c>
      <c r="Y311" s="31">
        <v>1855</v>
      </c>
      <c r="Z311" s="30">
        <v>1</v>
      </c>
    </row>
    <row r="312" spans="22:26">
      <c r="V312" s="30" t="s">
        <v>194</v>
      </c>
      <c r="W312" s="30">
        <v>60</v>
      </c>
      <c r="X312" s="30" t="str">
        <f t="shared" si="9"/>
        <v>ステンレス鋼管_60</v>
      </c>
      <c r="Y312" s="31">
        <v>2875</v>
      </c>
      <c r="Z312" s="30">
        <v>1</v>
      </c>
    </row>
    <row r="313" spans="22:26">
      <c r="V313" s="30" t="s">
        <v>194</v>
      </c>
      <c r="W313" s="30">
        <v>75</v>
      </c>
      <c r="X313" s="30" t="str">
        <f t="shared" si="9"/>
        <v>ステンレス鋼管_75</v>
      </c>
      <c r="Y313" s="31">
        <v>4572</v>
      </c>
      <c r="Z313" s="30">
        <v>1</v>
      </c>
    </row>
    <row r="314" spans="22:26">
      <c r="V314" s="30" t="s">
        <v>194</v>
      </c>
      <c r="W314" s="30">
        <v>80</v>
      </c>
      <c r="X314" s="30" t="str">
        <f t="shared" si="9"/>
        <v>ステンレス鋼管_80</v>
      </c>
      <c r="Y314" s="31">
        <v>6235</v>
      </c>
      <c r="Z314" s="30">
        <v>1</v>
      </c>
    </row>
    <row r="315" spans="22:26">
      <c r="V315" s="30" t="s">
        <v>194</v>
      </c>
      <c r="W315" s="30">
        <v>100</v>
      </c>
      <c r="X315" s="30" t="str">
        <f t="shared" si="9"/>
        <v>ステンレス鋼管_100</v>
      </c>
      <c r="Y315" s="31">
        <v>10261</v>
      </c>
      <c r="Z315" s="30">
        <v>2</v>
      </c>
    </row>
    <row r="316" spans="22:26">
      <c r="V316" s="30" t="s">
        <v>195</v>
      </c>
      <c r="W316" s="30">
        <v>8</v>
      </c>
      <c r="X316" s="30" t="str">
        <f t="shared" si="9"/>
        <v>ステンレス鋼管_保温10㎜_8</v>
      </c>
      <c r="Y316" s="31">
        <v>684</v>
      </c>
    </row>
    <row r="317" spans="22:26">
      <c r="V317" s="30" t="s">
        <v>195</v>
      </c>
      <c r="W317" s="30">
        <v>10</v>
      </c>
      <c r="X317" s="30" t="str">
        <f t="shared" si="9"/>
        <v>ステンレス鋼管_保温10㎜_10</v>
      </c>
      <c r="Y317" s="31">
        <v>840</v>
      </c>
    </row>
    <row r="318" spans="22:26">
      <c r="V318" s="30" t="s">
        <v>195</v>
      </c>
      <c r="W318" s="30">
        <v>13</v>
      </c>
      <c r="X318" s="30" t="str">
        <f t="shared" si="9"/>
        <v>ステンレス鋼管_保温10㎜_13</v>
      </c>
      <c r="Y318" s="31">
        <v>1011</v>
      </c>
    </row>
    <row r="319" spans="22:26">
      <c r="V319" s="30" t="s">
        <v>195</v>
      </c>
      <c r="W319" s="30">
        <v>20</v>
      </c>
      <c r="X319" s="30" t="str">
        <f t="shared" si="9"/>
        <v>ステンレス鋼管_保温10㎜_20</v>
      </c>
      <c r="Y319" s="31">
        <v>1400</v>
      </c>
    </row>
    <row r="320" spans="22:26">
      <c r="V320" s="30" t="s">
        <v>195</v>
      </c>
      <c r="W320" s="30">
        <v>25</v>
      </c>
      <c r="X320" s="30" t="str">
        <f t="shared" si="9"/>
        <v>ステンレス鋼管_保温10㎜_25</v>
      </c>
      <c r="Y320" s="31">
        <v>2695</v>
      </c>
    </row>
    <row r="321" spans="22:25">
      <c r="V321" s="30" t="s">
        <v>195</v>
      </c>
      <c r="W321" s="30">
        <v>30</v>
      </c>
      <c r="X321" s="30" t="str">
        <f t="shared" si="9"/>
        <v>ステンレス鋼管_保温10㎜_30</v>
      </c>
      <c r="Y321" s="31">
        <v>2290</v>
      </c>
    </row>
    <row r="322" spans="22:25">
      <c r="V322" s="30" t="s">
        <v>195</v>
      </c>
      <c r="W322" s="30">
        <v>40</v>
      </c>
      <c r="X322" s="30" t="str">
        <f t="shared" si="9"/>
        <v>ステンレス鋼管_保温10㎜_40</v>
      </c>
      <c r="Y322" s="31">
        <v>3088</v>
      </c>
    </row>
    <row r="323" spans="22:25">
      <c r="V323" s="30" t="s">
        <v>196</v>
      </c>
      <c r="W323" s="30">
        <v>8</v>
      </c>
      <c r="X323" s="30" t="str">
        <f t="shared" ref="X323:X354" si="10">V323&amp;"_"&amp;W323</f>
        <v>ステンレス鋼管_保温20㎜_8</v>
      </c>
      <c r="Y323" s="31">
        <v>1926</v>
      </c>
    </row>
    <row r="324" spans="22:25">
      <c r="V324" s="30" t="s">
        <v>196</v>
      </c>
      <c r="W324" s="30">
        <v>10</v>
      </c>
      <c r="X324" s="30" t="str">
        <f t="shared" si="10"/>
        <v>ステンレス鋼管_保温20㎜_10</v>
      </c>
      <c r="Y324" s="31">
        <v>2181</v>
      </c>
    </row>
    <row r="325" spans="22:25">
      <c r="V325" s="30" t="s">
        <v>196</v>
      </c>
      <c r="W325" s="30">
        <v>13</v>
      </c>
      <c r="X325" s="30" t="str">
        <f t="shared" si="10"/>
        <v>ステンレス鋼管_保温20㎜_13</v>
      </c>
      <c r="Y325" s="31">
        <v>2452</v>
      </c>
    </row>
    <row r="326" spans="22:25">
      <c r="V326" s="30" t="s">
        <v>196</v>
      </c>
      <c r="W326" s="30">
        <v>20</v>
      </c>
      <c r="X326" s="30" t="str">
        <f t="shared" si="10"/>
        <v>ステンレス鋼管_保温20㎜_20</v>
      </c>
      <c r="Y326" s="31">
        <v>3041</v>
      </c>
    </row>
    <row r="327" spans="22:25">
      <c r="V327" s="30" t="s">
        <v>196</v>
      </c>
      <c r="W327" s="30">
        <v>25</v>
      </c>
      <c r="X327" s="30" t="str">
        <f t="shared" si="10"/>
        <v>ステンレス鋼管_保温20㎜_25</v>
      </c>
      <c r="Y327" s="31">
        <v>4850</v>
      </c>
    </row>
    <row r="328" spans="22:25">
      <c r="V328" s="30" t="s">
        <v>196</v>
      </c>
      <c r="W328" s="30">
        <v>30</v>
      </c>
      <c r="X328" s="30" t="str">
        <f t="shared" si="10"/>
        <v>ステンレス鋼管_保温20㎜_30</v>
      </c>
      <c r="Y328" s="31">
        <v>4301</v>
      </c>
    </row>
    <row r="329" spans="22:25">
      <c r="V329" s="30" t="s">
        <v>196</v>
      </c>
      <c r="W329" s="30">
        <v>40</v>
      </c>
      <c r="X329" s="30" t="str">
        <f t="shared" si="10"/>
        <v>ステンレス鋼管_保温20㎜_40</v>
      </c>
      <c r="Y329" s="31">
        <v>5372</v>
      </c>
    </row>
    <row r="330" spans="22:25">
      <c r="V330" s="30" t="s">
        <v>197</v>
      </c>
      <c r="W330" s="30" t="s">
        <v>368</v>
      </c>
      <c r="X330" s="30" t="str">
        <f t="shared" si="10"/>
        <v>銅管_建築・水道用_10A</v>
      </c>
      <c r="Y330" s="31">
        <v>127</v>
      </c>
    </row>
    <row r="331" spans="22:25">
      <c r="V331" s="30" t="s">
        <v>197</v>
      </c>
      <c r="W331" s="30" t="s">
        <v>369</v>
      </c>
      <c r="X331" s="30" t="str">
        <f t="shared" si="10"/>
        <v>銅管_建築・水道用_15A</v>
      </c>
      <c r="Y331" s="31">
        <v>198</v>
      </c>
    </row>
    <row r="332" spans="22:25">
      <c r="V332" s="30" t="s">
        <v>197</v>
      </c>
      <c r="W332" s="30" t="s">
        <v>370</v>
      </c>
      <c r="X332" s="30" t="str">
        <f t="shared" si="10"/>
        <v>銅管_建築・水道用_20A</v>
      </c>
      <c r="Y332" s="31">
        <v>388</v>
      </c>
    </row>
    <row r="333" spans="22:25">
      <c r="V333" s="30" t="s">
        <v>197</v>
      </c>
      <c r="W333" s="30" t="s">
        <v>371</v>
      </c>
      <c r="X333" s="30" t="str">
        <f t="shared" si="10"/>
        <v>銅管_建築・水道用_25A</v>
      </c>
      <c r="Y333" s="31">
        <v>642</v>
      </c>
    </row>
    <row r="334" spans="22:25">
      <c r="V334" s="30" t="s">
        <v>197</v>
      </c>
      <c r="W334" s="30" t="s">
        <v>372</v>
      </c>
      <c r="X334" s="30" t="str">
        <f t="shared" si="10"/>
        <v>銅管_建築・水道用_32A</v>
      </c>
      <c r="Y334" s="31">
        <v>958</v>
      </c>
    </row>
    <row r="335" spans="22:25">
      <c r="V335" s="30" t="s">
        <v>197</v>
      </c>
      <c r="W335" s="30" t="s">
        <v>373</v>
      </c>
      <c r="X335" s="30" t="str">
        <f t="shared" si="10"/>
        <v>銅管_建築・水道用_40A</v>
      </c>
      <c r="Y335" s="31">
        <v>1338</v>
      </c>
    </row>
    <row r="336" spans="22:25">
      <c r="V336" s="30" t="s">
        <v>197</v>
      </c>
      <c r="W336" s="30" t="s">
        <v>374</v>
      </c>
      <c r="X336" s="30" t="str">
        <f t="shared" si="10"/>
        <v>銅管_建築・水道用_50A</v>
      </c>
      <c r="Y336" s="31">
        <v>2289</v>
      </c>
    </row>
    <row r="337" spans="22:25">
      <c r="V337" s="30" t="s">
        <v>198</v>
      </c>
      <c r="W337" s="30" t="s">
        <v>368</v>
      </c>
      <c r="X337" s="30" t="str">
        <f t="shared" si="10"/>
        <v>銅管_建築・水道用_保温10㎜_10A</v>
      </c>
      <c r="Y337" s="31">
        <v>840</v>
      </c>
    </row>
    <row r="338" spans="22:25">
      <c r="V338" s="30" t="s">
        <v>198</v>
      </c>
      <c r="W338" s="30" t="s">
        <v>369</v>
      </c>
      <c r="X338" s="30" t="str">
        <f t="shared" si="10"/>
        <v>銅管_建築・水道用_保温10㎜_15A</v>
      </c>
      <c r="Y338" s="31">
        <v>1011</v>
      </c>
    </row>
    <row r="339" spans="22:25">
      <c r="V339" s="30" t="s">
        <v>198</v>
      </c>
      <c r="W339" s="30" t="s">
        <v>370</v>
      </c>
      <c r="X339" s="30" t="str">
        <f t="shared" si="10"/>
        <v>銅管_建築・水道用_保温10㎜_20A</v>
      </c>
      <c r="Y339" s="31">
        <v>1400</v>
      </c>
    </row>
    <row r="340" spans="22:25">
      <c r="V340" s="30" t="s">
        <v>198</v>
      </c>
      <c r="W340" s="30" t="s">
        <v>371</v>
      </c>
      <c r="X340" s="30" t="str">
        <f t="shared" si="10"/>
        <v>銅管_建築・水道用_保温10㎜_25A</v>
      </c>
      <c r="Y340" s="31">
        <v>1854</v>
      </c>
    </row>
    <row r="341" spans="22:25">
      <c r="V341" s="30" t="s">
        <v>198</v>
      </c>
      <c r="W341" s="30" t="s">
        <v>372</v>
      </c>
      <c r="X341" s="30" t="str">
        <f t="shared" si="10"/>
        <v>銅管_建築・水道用_保温10㎜_32A</v>
      </c>
      <c r="Y341" s="31">
        <v>2369</v>
      </c>
    </row>
    <row r="342" spans="22:25">
      <c r="V342" s="30" t="s">
        <v>198</v>
      </c>
      <c r="W342" s="30" t="s">
        <v>373</v>
      </c>
      <c r="X342" s="30" t="str">
        <f t="shared" si="10"/>
        <v>銅管_建築・水道用_保温10㎜_40A</v>
      </c>
      <c r="Y342" s="31">
        <v>2949</v>
      </c>
    </row>
    <row r="343" spans="22:25">
      <c r="V343" s="30" t="s">
        <v>198</v>
      </c>
      <c r="W343" s="30" t="s">
        <v>374</v>
      </c>
      <c r="X343" s="30" t="str">
        <f t="shared" si="10"/>
        <v>銅管_建築・水道用_保温10㎜_50A</v>
      </c>
      <c r="Y343" s="31">
        <v>4299</v>
      </c>
    </row>
    <row r="344" spans="22:25">
      <c r="V344" s="30" t="s">
        <v>199</v>
      </c>
      <c r="W344" s="30" t="s">
        <v>368</v>
      </c>
      <c r="X344" s="30" t="str">
        <f t="shared" si="10"/>
        <v>銅管_建築・水道用_保温20㎜_10A</v>
      </c>
      <c r="Y344" s="31">
        <v>2181</v>
      </c>
    </row>
    <row r="345" spans="22:25">
      <c r="V345" s="30" t="s">
        <v>199</v>
      </c>
      <c r="W345" s="30" t="s">
        <v>369</v>
      </c>
      <c r="X345" s="30" t="str">
        <f t="shared" si="10"/>
        <v>銅管_建築・水道用_保温20㎜_15A</v>
      </c>
      <c r="Y345" s="31">
        <v>2452</v>
      </c>
    </row>
    <row r="346" spans="22:25">
      <c r="V346" s="30" t="s">
        <v>199</v>
      </c>
      <c r="W346" s="30" t="s">
        <v>370</v>
      </c>
      <c r="X346" s="30" t="str">
        <f t="shared" si="10"/>
        <v>銅管_建築・水道用_保温20㎜_20A</v>
      </c>
      <c r="Y346" s="31">
        <v>3041</v>
      </c>
    </row>
    <row r="347" spans="22:25">
      <c r="V347" s="30" t="s">
        <v>199</v>
      </c>
      <c r="W347" s="30" t="s">
        <v>371</v>
      </c>
      <c r="X347" s="30" t="str">
        <f t="shared" si="10"/>
        <v>銅管_建築・水道用_保温20㎜_25A</v>
      </c>
      <c r="Y347" s="31">
        <v>3694</v>
      </c>
    </row>
    <row r="348" spans="22:25">
      <c r="V348" s="30" t="s">
        <v>199</v>
      </c>
      <c r="W348" s="30" t="s">
        <v>372</v>
      </c>
      <c r="X348" s="30" t="str">
        <f t="shared" si="10"/>
        <v>銅管_建築・水道用_保温20㎜_32A</v>
      </c>
      <c r="Y348" s="31">
        <v>4408</v>
      </c>
    </row>
    <row r="349" spans="22:25">
      <c r="V349" s="30" t="s">
        <v>199</v>
      </c>
      <c r="W349" s="30" t="s">
        <v>373</v>
      </c>
      <c r="X349" s="30" t="str">
        <f t="shared" si="10"/>
        <v>銅管_建築・水道用_保温20㎜_40A</v>
      </c>
      <c r="Y349" s="31">
        <v>5189</v>
      </c>
    </row>
    <row r="350" spans="22:25">
      <c r="V350" s="30" t="s">
        <v>199</v>
      </c>
      <c r="W350" s="30" t="s">
        <v>374</v>
      </c>
      <c r="X350" s="30" t="str">
        <f t="shared" si="10"/>
        <v>銅管_建築・水道用_保温20㎜_50A</v>
      </c>
      <c r="Y350" s="31">
        <v>6937</v>
      </c>
    </row>
    <row r="351" spans="22:25">
      <c r="V351" s="30" t="s">
        <v>200</v>
      </c>
      <c r="W351" s="30" t="s">
        <v>368</v>
      </c>
      <c r="X351" s="30" t="str">
        <f t="shared" si="10"/>
        <v>被覆銅管_建築・水道用_10A</v>
      </c>
      <c r="Y351" s="31">
        <v>252</v>
      </c>
    </row>
    <row r="352" spans="22:25">
      <c r="V352" s="30" t="s">
        <v>200</v>
      </c>
      <c r="W352" s="30" t="s">
        <v>369</v>
      </c>
      <c r="X352" s="30" t="str">
        <f t="shared" si="10"/>
        <v>被覆銅管_建築・水道用_15A</v>
      </c>
      <c r="Y352" s="31">
        <v>362</v>
      </c>
    </row>
    <row r="353" spans="22:25">
      <c r="V353" s="30" t="s">
        <v>200</v>
      </c>
      <c r="W353" s="30" t="s">
        <v>370</v>
      </c>
      <c r="X353" s="30" t="str">
        <f t="shared" si="10"/>
        <v>被覆銅管_建築・水道用_20A</v>
      </c>
      <c r="Y353" s="31">
        <v>652</v>
      </c>
    </row>
    <row r="354" spans="22:25">
      <c r="V354" s="30" t="s">
        <v>200</v>
      </c>
      <c r="W354" s="30" t="s">
        <v>371</v>
      </c>
      <c r="X354" s="30" t="str">
        <f t="shared" si="10"/>
        <v>被覆銅管_建築・水道用_25A</v>
      </c>
      <c r="Y354" s="31">
        <v>1074</v>
      </c>
    </row>
  </sheetData>
  <mergeCells count="3">
    <mergeCell ref="K2:O2"/>
    <mergeCell ref="P2:T2"/>
    <mergeCell ref="U2:Y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90BA-9ACD-4FD2-9C5E-FD9D68A4C3C8}">
  <sheetPr codeName="Sheet5"/>
  <dimension ref="A1:AH163"/>
  <sheetViews>
    <sheetView topLeftCell="A55" zoomScale="75" zoomScaleNormal="75" workbookViewId="0">
      <selection activeCell="Q11" sqref="Q11"/>
    </sheetView>
  </sheetViews>
  <sheetFormatPr defaultColWidth="8.625" defaultRowHeight="14.25"/>
  <cols>
    <col min="1" max="1" width="3.25" customWidth="1"/>
    <col min="2" max="2" width="27.5" bestFit="1" customWidth="1"/>
    <col min="3" max="3" width="4.5" customWidth="1"/>
    <col min="4" max="38" width="8.25" customWidth="1"/>
  </cols>
  <sheetData>
    <row r="1" spans="1:34">
      <c r="B1" s="22" t="s">
        <v>102</v>
      </c>
    </row>
    <row r="2" spans="1:34">
      <c r="A2" t="s">
        <v>338</v>
      </c>
      <c r="B2" s="25" t="s">
        <v>382</v>
      </c>
      <c r="D2" s="22" t="s">
        <v>382</v>
      </c>
      <c r="H2" s="22" t="s">
        <v>383</v>
      </c>
      <c r="L2" s="22" t="s">
        <v>384</v>
      </c>
      <c r="P2" s="22" t="s">
        <v>103</v>
      </c>
      <c r="T2" s="22" t="s">
        <v>104</v>
      </c>
      <c r="X2" s="22" t="s">
        <v>105</v>
      </c>
      <c r="AB2" s="22" t="s">
        <v>106</v>
      </c>
      <c r="AF2" s="22" t="s">
        <v>107</v>
      </c>
    </row>
    <row r="3" spans="1:34">
      <c r="A3" t="s">
        <v>338</v>
      </c>
      <c r="B3" s="25" t="s">
        <v>383</v>
      </c>
      <c r="D3" s="23" t="s">
        <v>108</v>
      </c>
      <c r="E3" s="16" t="s">
        <v>109</v>
      </c>
      <c r="F3" s="16" t="s">
        <v>110</v>
      </c>
      <c r="H3" s="28" t="s">
        <v>108</v>
      </c>
      <c r="I3" s="16" t="s">
        <v>109</v>
      </c>
      <c r="J3" s="16" t="s">
        <v>110</v>
      </c>
      <c r="L3" s="28" t="s">
        <v>108</v>
      </c>
      <c r="M3" s="16" t="s">
        <v>109</v>
      </c>
      <c r="N3" s="16" t="s">
        <v>110</v>
      </c>
      <c r="P3" s="23" t="s">
        <v>108</v>
      </c>
      <c r="Q3" s="16" t="s">
        <v>109</v>
      </c>
      <c r="R3" s="16" t="s">
        <v>110</v>
      </c>
      <c r="T3" s="28" t="s">
        <v>108</v>
      </c>
      <c r="U3" s="16" t="s">
        <v>109</v>
      </c>
      <c r="V3" s="16" t="s">
        <v>110</v>
      </c>
      <c r="X3" s="28" t="s">
        <v>108</v>
      </c>
      <c r="Y3" s="16" t="s">
        <v>109</v>
      </c>
      <c r="Z3" s="16" t="s">
        <v>110</v>
      </c>
      <c r="AB3" s="16" t="s">
        <v>111</v>
      </c>
      <c r="AC3" s="16" t="s">
        <v>109</v>
      </c>
      <c r="AD3" s="16" t="s">
        <v>110</v>
      </c>
      <c r="AF3" s="16" t="s">
        <v>111</v>
      </c>
      <c r="AG3" s="16" t="s">
        <v>109</v>
      </c>
      <c r="AH3" s="16" t="s">
        <v>110</v>
      </c>
    </row>
    <row r="4" spans="1:34">
      <c r="A4" t="s">
        <v>338</v>
      </c>
      <c r="B4" s="25" t="s">
        <v>384</v>
      </c>
      <c r="D4" s="17">
        <v>6.35</v>
      </c>
      <c r="E4" s="17">
        <v>22.35</v>
      </c>
      <c r="F4" s="18">
        <v>392</v>
      </c>
      <c r="H4" s="17">
        <v>6.35</v>
      </c>
      <c r="I4" s="17">
        <v>26.35</v>
      </c>
      <c r="J4" s="18">
        <v>545</v>
      </c>
      <c r="L4" s="17">
        <v>6.35</v>
      </c>
      <c r="M4" s="17">
        <v>46.35</v>
      </c>
      <c r="N4" s="18">
        <v>1687</v>
      </c>
      <c r="P4" s="17">
        <v>6.35</v>
      </c>
      <c r="Q4" s="17">
        <v>22.35</v>
      </c>
      <c r="R4" s="18">
        <v>392</v>
      </c>
      <c r="T4" s="17">
        <v>6.35</v>
      </c>
      <c r="U4" s="17">
        <v>26.35</v>
      </c>
      <c r="V4" s="18">
        <v>545</v>
      </c>
      <c r="X4" s="17">
        <v>6.35</v>
      </c>
      <c r="Y4" s="17">
        <v>46.35</v>
      </c>
      <c r="Z4" s="18">
        <v>1687</v>
      </c>
      <c r="AB4" s="17">
        <v>20</v>
      </c>
      <c r="AC4" s="17">
        <v>32</v>
      </c>
      <c r="AD4" s="18">
        <v>804</v>
      </c>
      <c r="AF4" s="17">
        <v>14</v>
      </c>
      <c r="AG4" s="17">
        <v>26.5</v>
      </c>
      <c r="AH4" s="18">
        <v>552</v>
      </c>
    </row>
    <row r="5" spans="1:34">
      <c r="A5" t="s">
        <v>338</v>
      </c>
      <c r="B5" s="25" t="s">
        <v>103</v>
      </c>
      <c r="D5" s="17">
        <v>9.52</v>
      </c>
      <c r="E5" s="17">
        <v>25.52</v>
      </c>
      <c r="F5" s="18">
        <v>512</v>
      </c>
      <c r="H5" s="17">
        <v>9.52</v>
      </c>
      <c r="I5" s="17">
        <v>29.52</v>
      </c>
      <c r="J5" s="18">
        <v>684</v>
      </c>
      <c r="L5" s="17">
        <v>9.52</v>
      </c>
      <c r="M5" s="17">
        <v>49.519999999999996</v>
      </c>
      <c r="N5" s="18">
        <v>1926</v>
      </c>
      <c r="P5" s="17">
        <v>9.52</v>
      </c>
      <c r="Q5" s="17">
        <v>25.52</v>
      </c>
      <c r="R5" s="18">
        <v>512</v>
      </c>
      <c r="T5" s="17">
        <v>9.52</v>
      </c>
      <c r="U5" s="17">
        <v>29.52</v>
      </c>
      <c r="V5" s="18">
        <v>684</v>
      </c>
      <c r="X5" s="17">
        <v>9.52</v>
      </c>
      <c r="Y5" s="17">
        <v>49.519999999999996</v>
      </c>
      <c r="Z5" s="18">
        <v>1926</v>
      </c>
      <c r="AB5" s="17">
        <v>25</v>
      </c>
      <c r="AC5" s="17">
        <v>38</v>
      </c>
      <c r="AD5" s="18">
        <v>1134</v>
      </c>
      <c r="AF5" s="17">
        <v>20</v>
      </c>
      <c r="AG5" s="17">
        <v>31</v>
      </c>
      <c r="AH5" s="18">
        <v>755</v>
      </c>
    </row>
    <row r="6" spans="1:34">
      <c r="A6" t="s">
        <v>338</v>
      </c>
      <c r="B6" s="25" t="s">
        <v>104</v>
      </c>
      <c r="D6" s="17">
        <v>12.7</v>
      </c>
      <c r="E6" s="17">
        <v>28.7</v>
      </c>
      <c r="F6" s="18">
        <v>647</v>
      </c>
      <c r="H6" s="17">
        <v>12.7</v>
      </c>
      <c r="I6" s="17">
        <v>32.700000000000003</v>
      </c>
      <c r="J6" s="18">
        <v>840</v>
      </c>
      <c r="L6" s="17">
        <v>12.7</v>
      </c>
      <c r="M6" s="17">
        <v>52.7</v>
      </c>
      <c r="N6" s="18">
        <v>2181</v>
      </c>
      <c r="P6" s="17">
        <v>12.7</v>
      </c>
      <c r="Q6" s="17">
        <v>28.7</v>
      </c>
      <c r="R6" s="18">
        <v>647</v>
      </c>
      <c r="T6" s="17">
        <v>12.7</v>
      </c>
      <c r="U6" s="17">
        <v>32.700000000000003</v>
      </c>
      <c r="V6" s="18">
        <v>840</v>
      </c>
      <c r="X6" s="17">
        <v>12.7</v>
      </c>
      <c r="Y6" s="17">
        <v>52.7</v>
      </c>
      <c r="Z6" s="18">
        <v>2181</v>
      </c>
      <c r="AB6" s="17">
        <v>30</v>
      </c>
      <c r="AC6" s="17">
        <v>48</v>
      </c>
      <c r="AD6" s="18">
        <v>1810</v>
      </c>
      <c r="AF6" s="17">
        <v>25</v>
      </c>
      <c r="AG6" s="17">
        <v>37</v>
      </c>
      <c r="AH6" s="18">
        <v>1076</v>
      </c>
    </row>
    <row r="7" spans="1:34">
      <c r="A7" t="s">
        <v>338</v>
      </c>
      <c r="B7" s="25" t="s">
        <v>105</v>
      </c>
      <c r="H7" s="17">
        <v>15.88</v>
      </c>
      <c r="I7" s="17">
        <v>35.880000000000003</v>
      </c>
      <c r="J7" s="18">
        <v>1011</v>
      </c>
      <c r="L7" s="17">
        <v>15.88</v>
      </c>
      <c r="M7" s="17">
        <v>55.88</v>
      </c>
      <c r="N7" s="18">
        <v>2452</v>
      </c>
      <c r="T7" s="17">
        <v>15.88</v>
      </c>
      <c r="U7" s="17">
        <v>35.880000000000003</v>
      </c>
      <c r="V7" s="18">
        <v>1011</v>
      </c>
      <c r="X7" s="17">
        <v>15.88</v>
      </c>
      <c r="Y7" s="17">
        <v>55.88</v>
      </c>
      <c r="Z7" s="18">
        <v>2452</v>
      </c>
      <c r="AB7" s="17">
        <v>40</v>
      </c>
      <c r="AC7" s="17">
        <v>60</v>
      </c>
      <c r="AD7" s="18">
        <v>2827</v>
      </c>
    </row>
    <row r="8" spans="1:34">
      <c r="A8" t="s">
        <v>338</v>
      </c>
      <c r="B8" t="s">
        <v>106</v>
      </c>
      <c r="H8" s="17">
        <v>19.05</v>
      </c>
      <c r="I8" s="17">
        <v>39.049999999999997</v>
      </c>
      <c r="J8" s="18">
        <v>1198</v>
      </c>
      <c r="L8" s="17">
        <v>19.05</v>
      </c>
      <c r="M8" s="17">
        <v>59.05</v>
      </c>
      <c r="N8" s="18">
        <v>2739</v>
      </c>
      <c r="T8" s="17">
        <v>19.05</v>
      </c>
      <c r="U8" s="17">
        <v>39.049999999999997</v>
      </c>
      <c r="V8" s="18">
        <v>1198</v>
      </c>
      <c r="X8" s="17">
        <v>19.05</v>
      </c>
      <c r="Y8" s="17">
        <v>59.05</v>
      </c>
      <c r="Z8" s="18">
        <v>2739</v>
      </c>
      <c r="AB8" s="17">
        <v>50</v>
      </c>
      <c r="AC8" s="17">
        <v>76</v>
      </c>
      <c r="AD8" s="18">
        <v>4536</v>
      </c>
      <c r="AF8" s="22" t="s">
        <v>112</v>
      </c>
    </row>
    <row r="9" spans="1:34">
      <c r="A9" t="s">
        <v>338</v>
      </c>
      <c r="B9" t="s">
        <v>107</v>
      </c>
      <c r="H9" s="17">
        <v>22.22</v>
      </c>
      <c r="I9" s="17">
        <v>42.22</v>
      </c>
      <c r="J9" s="18">
        <v>1400</v>
      </c>
      <c r="L9" s="17">
        <v>22.22</v>
      </c>
      <c r="M9" s="17">
        <v>62.22</v>
      </c>
      <c r="N9" s="18">
        <v>3041</v>
      </c>
      <c r="T9" s="17">
        <v>22.22</v>
      </c>
      <c r="U9" s="17">
        <v>42.22</v>
      </c>
      <c r="V9" s="18">
        <v>1400</v>
      </c>
      <c r="X9" s="17">
        <v>22.22</v>
      </c>
      <c r="Y9" s="17">
        <v>62.22</v>
      </c>
      <c r="Z9" s="18">
        <v>3041</v>
      </c>
      <c r="AB9" s="17">
        <v>65</v>
      </c>
      <c r="AC9" s="17">
        <v>89</v>
      </c>
      <c r="AD9" s="18">
        <v>6221</v>
      </c>
      <c r="AF9" s="16" t="s">
        <v>111</v>
      </c>
      <c r="AG9" s="16" t="s">
        <v>109</v>
      </c>
      <c r="AH9" s="16" t="s">
        <v>110</v>
      </c>
    </row>
    <row r="10" spans="1:34">
      <c r="A10" t="s">
        <v>338</v>
      </c>
      <c r="B10" t="s">
        <v>112</v>
      </c>
      <c r="H10" s="17">
        <v>25.4</v>
      </c>
      <c r="I10" s="17">
        <v>45.4</v>
      </c>
      <c r="J10" s="18">
        <v>1619</v>
      </c>
      <c r="L10" s="17">
        <v>25.4</v>
      </c>
      <c r="M10" s="17">
        <v>65.400000000000006</v>
      </c>
      <c r="N10" s="18">
        <v>3359</v>
      </c>
      <c r="T10" s="17">
        <v>25.4</v>
      </c>
      <c r="U10" s="17">
        <v>45.4</v>
      </c>
      <c r="V10" s="18">
        <v>1619</v>
      </c>
      <c r="X10" s="17">
        <v>25.4</v>
      </c>
      <c r="Y10" s="17">
        <v>65.400000000000006</v>
      </c>
      <c r="Z10" s="18">
        <v>3359</v>
      </c>
      <c r="AF10" s="17">
        <v>14</v>
      </c>
      <c r="AG10" s="17">
        <v>19.399999999999999</v>
      </c>
      <c r="AH10" s="17">
        <v>296</v>
      </c>
    </row>
    <row r="11" spans="1:34">
      <c r="A11" t="s">
        <v>338</v>
      </c>
      <c r="B11" t="s">
        <v>113</v>
      </c>
      <c r="H11" s="17">
        <v>28.58</v>
      </c>
      <c r="I11" s="17">
        <v>48.58</v>
      </c>
      <c r="J11" s="18">
        <v>1854</v>
      </c>
      <c r="L11" s="17">
        <v>28.58</v>
      </c>
      <c r="M11" s="17">
        <v>68.58</v>
      </c>
      <c r="N11" s="18">
        <v>3694</v>
      </c>
      <c r="T11" s="17">
        <v>28.58</v>
      </c>
      <c r="U11" s="17">
        <v>48.58</v>
      </c>
      <c r="V11" s="18">
        <v>1854</v>
      </c>
      <c r="X11" s="17">
        <v>28.58</v>
      </c>
      <c r="Y11" s="17">
        <v>68.58</v>
      </c>
      <c r="Z11" s="18">
        <v>3694</v>
      </c>
      <c r="AF11" s="17">
        <v>16</v>
      </c>
      <c r="AG11" s="17">
        <v>21</v>
      </c>
      <c r="AH11" s="17">
        <v>347</v>
      </c>
    </row>
    <row r="12" spans="1:34">
      <c r="A12" t="s">
        <v>338</v>
      </c>
      <c r="B12" t="s">
        <v>114</v>
      </c>
      <c r="H12" s="17">
        <v>31.75</v>
      </c>
      <c r="I12" s="17">
        <v>51.75</v>
      </c>
      <c r="J12" s="18">
        <v>2103</v>
      </c>
      <c r="L12" s="17">
        <v>31.75</v>
      </c>
      <c r="M12" s="17">
        <v>71.75</v>
      </c>
      <c r="N12" s="18">
        <v>4043</v>
      </c>
      <c r="T12" s="17">
        <v>31.75</v>
      </c>
      <c r="U12" s="17">
        <v>51.75</v>
      </c>
      <c r="V12" s="18">
        <v>2103</v>
      </c>
      <c r="X12" s="17">
        <v>31.75</v>
      </c>
      <c r="Y12" s="17">
        <v>71.75</v>
      </c>
      <c r="Z12" s="18">
        <v>4043</v>
      </c>
    </row>
    <row r="13" spans="1:34">
      <c r="A13" t="s">
        <v>338</v>
      </c>
      <c r="B13" t="s">
        <v>115</v>
      </c>
      <c r="H13" s="17">
        <v>34.92</v>
      </c>
      <c r="I13" s="17">
        <v>54.92</v>
      </c>
      <c r="J13" s="18">
        <v>2369</v>
      </c>
      <c r="L13" s="17">
        <v>34.92</v>
      </c>
      <c r="M13" s="17">
        <v>74.92</v>
      </c>
      <c r="N13" s="18">
        <v>4408</v>
      </c>
      <c r="T13" s="17">
        <v>34.92</v>
      </c>
      <c r="U13" s="17">
        <v>54.92</v>
      </c>
      <c r="V13" s="18">
        <v>2369</v>
      </c>
      <c r="X13" s="17">
        <v>34.92</v>
      </c>
      <c r="Y13" s="17">
        <v>74.92</v>
      </c>
      <c r="Z13" s="18">
        <v>4408</v>
      </c>
    </row>
    <row r="14" spans="1:34">
      <c r="A14" t="s">
        <v>338</v>
      </c>
      <c r="B14" t="s">
        <v>116</v>
      </c>
      <c r="H14" s="17">
        <v>38.1</v>
      </c>
      <c r="I14" s="17">
        <v>58.1</v>
      </c>
      <c r="J14" s="18">
        <v>2651</v>
      </c>
      <c r="L14" s="17">
        <v>38.1</v>
      </c>
      <c r="M14" s="17">
        <v>78.099999999999994</v>
      </c>
      <c r="N14" s="18">
        <v>4791</v>
      </c>
      <c r="T14" s="17">
        <v>38.1</v>
      </c>
      <c r="U14" s="17">
        <v>58.1</v>
      </c>
      <c r="V14" s="18">
        <v>2651</v>
      </c>
      <c r="X14" s="17">
        <v>38.1</v>
      </c>
      <c r="Y14" s="17">
        <v>78.099999999999994</v>
      </c>
      <c r="Z14" s="18">
        <v>4791</v>
      </c>
    </row>
    <row r="15" spans="1:34">
      <c r="A15" t="s">
        <v>338</v>
      </c>
      <c r="B15" t="s">
        <v>117</v>
      </c>
      <c r="E15" s="26"/>
      <c r="H15" s="17">
        <v>41.28</v>
      </c>
      <c r="I15" s="17">
        <v>61.28</v>
      </c>
      <c r="J15" s="18">
        <v>2949</v>
      </c>
      <c r="L15" s="17">
        <v>41.28</v>
      </c>
      <c r="M15" s="17">
        <v>81.28</v>
      </c>
      <c r="N15" s="18">
        <v>5189</v>
      </c>
      <c r="R15" s="26"/>
      <c r="X15" s="26"/>
      <c r="AA15" s="26"/>
      <c r="AE15" s="26"/>
    </row>
    <row r="16" spans="1:34">
      <c r="A16" t="s">
        <v>338</v>
      </c>
      <c r="B16" s="25" t="s">
        <v>118</v>
      </c>
      <c r="E16" s="26"/>
      <c r="H16" s="17">
        <v>44.45</v>
      </c>
      <c r="I16" s="17">
        <v>64.45</v>
      </c>
      <c r="J16" s="18">
        <v>3262</v>
      </c>
      <c r="L16" s="17">
        <v>44.45</v>
      </c>
      <c r="M16" s="17">
        <v>84.45</v>
      </c>
      <c r="N16" s="18">
        <v>5601</v>
      </c>
      <c r="T16" s="26"/>
      <c r="X16" s="26"/>
    </row>
    <row r="17" spans="1:34">
      <c r="A17" t="s">
        <v>338</v>
      </c>
      <c r="B17" t="s">
        <v>119</v>
      </c>
      <c r="E17" s="26"/>
      <c r="H17" s="17">
        <v>50.8</v>
      </c>
      <c r="I17" s="17">
        <v>70.8</v>
      </c>
      <c r="J17" s="18">
        <v>3937</v>
      </c>
      <c r="L17" s="17">
        <v>50.8</v>
      </c>
      <c r="M17" s="17">
        <v>90.8</v>
      </c>
      <c r="N17" s="18">
        <v>6475</v>
      </c>
      <c r="T17" s="26"/>
      <c r="X17" s="26"/>
    </row>
    <row r="18" spans="1:34">
      <c r="A18" t="s">
        <v>338</v>
      </c>
      <c r="B18" t="s">
        <v>335</v>
      </c>
      <c r="E18" s="26"/>
      <c r="H18" s="17">
        <v>53.98</v>
      </c>
      <c r="I18" s="17">
        <v>73.97999999999999</v>
      </c>
      <c r="J18" s="18">
        <v>4299</v>
      </c>
      <c r="L18" s="17">
        <v>53.98</v>
      </c>
      <c r="M18" s="17">
        <v>93.97999999999999</v>
      </c>
      <c r="N18" s="18">
        <v>6937</v>
      </c>
      <c r="T18" s="26"/>
      <c r="X18" s="26"/>
    </row>
    <row r="19" spans="1:34">
      <c r="A19" t="s">
        <v>338</v>
      </c>
      <c r="B19" t="s">
        <v>121</v>
      </c>
    </row>
    <row r="20" spans="1:34">
      <c r="A20" t="s">
        <v>338</v>
      </c>
      <c r="B20" t="s">
        <v>122</v>
      </c>
      <c r="D20" s="22" t="s">
        <v>113</v>
      </c>
      <c r="H20" s="22" t="s">
        <v>114</v>
      </c>
      <c r="L20" s="22" t="s">
        <v>115</v>
      </c>
      <c r="P20" s="22" t="s">
        <v>123</v>
      </c>
      <c r="T20" s="22" t="s">
        <v>124</v>
      </c>
      <c r="X20" s="22" t="s">
        <v>118</v>
      </c>
      <c r="AB20" s="22" t="s">
        <v>125</v>
      </c>
      <c r="AF20" s="22" t="s">
        <v>120</v>
      </c>
    </row>
    <row r="21" spans="1:34">
      <c r="A21" t="s">
        <v>338</v>
      </c>
      <c r="B21" t="s">
        <v>126</v>
      </c>
      <c r="D21" s="16" t="s">
        <v>111</v>
      </c>
      <c r="E21" s="16" t="s">
        <v>109</v>
      </c>
      <c r="F21" s="16" t="s">
        <v>110</v>
      </c>
      <c r="H21" s="19" t="s">
        <v>111</v>
      </c>
      <c r="I21" s="16" t="s">
        <v>109</v>
      </c>
      <c r="J21" s="16" t="s">
        <v>110</v>
      </c>
      <c r="L21" s="19" t="s">
        <v>111</v>
      </c>
      <c r="M21" s="16" t="s">
        <v>109</v>
      </c>
      <c r="N21" s="16" t="s">
        <v>110</v>
      </c>
      <c r="P21" s="16" t="s">
        <v>111</v>
      </c>
      <c r="Q21" s="19" t="s">
        <v>109</v>
      </c>
      <c r="R21" s="19" t="s">
        <v>110</v>
      </c>
      <c r="T21" s="16" t="s">
        <v>111</v>
      </c>
      <c r="U21" s="19" t="s">
        <v>109</v>
      </c>
      <c r="V21" s="19" t="s">
        <v>110</v>
      </c>
      <c r="X21" s="16" t="s">
        <v>111</v>
      </c>
      <c r="Y21" s="16" t="s">
        <v>109</v>
      </c>
      <c r="Z21" s="16" t="s">
        <v>110</v>
      </c>
      <c r="AB21" s="16" t="s">
        <v>111</v>
      </c>
      <c r="AC21" s="19" t="s">
        <v>109</v>
      </c>
      <c r="AD21" s="19" t="s">
        <v>110</v>
      </c>
      <c r="AF21" s="16" t="s">
        <v>111</v>
      </c>
      <c r="AG21" s="19" t="s">
        <v>109</v>
      </c>
      <c r="AH21" s="19" t="s">
        <v>110</v>
      </c>
    </row>
    <row r="22" spans="1:34">
      <c r="A22" t="s">
        <v>338</v>
      </c>
      <c r="B22" t="s">
        <v>17</v>
      </c>
      <c r="D22" s="17">
        <v>10</v>
      </c>
      <c r="E22" s="17">
        <v>14</v>
      </c>
      <c r="F22" s="18">
        <v>154</v>
      </c>
      <c r="H22" s="17">
        <v>14</v>
      </c>
      <c r="I22" s="17">
        <v>19</v>
      </c>
      <c r="J22" s="18">
        <v>284</v>
      </c>
      <c r="L22" s="17">
        <v>14</v>
      </c>
      <c r="M22" s="17">
        <v>21.5</v>
      </c>
      <c r="N22" s="18">
        <v>363</v>
      </c>
      <c r="P22" s="17">
        <v>20</v>
      </c>
      <c r="Q22" s="17">
        <v>30.5</v>
      </c>
      <c r="R22" s="18">
        <v>731</v>
      </c>
      <c r="T22" s="17">
        <v>22</v>
      </c>
      <c r="U22" s="17">
        <v>30.5</v>
      </c>
      <c r="V22" s="18">
        <v>731</v>
      </c>
      <c r="X22" s="17">
        <v>12</v>
      </c>
      <c r="Y22" s="17">
        <v>17.7</v>
      </c>
      <c r="Z22" s="18">
        <v>246</v>
      </c>
      <c r="AB22" s="17" t="s">
        <v>127</v>
      </c>
      <c r="AC22" s="17">
        <v>21</v>
      </c>
      <c r="AD22" s="18">
        <v>346</v>
      </c>
      <c r="AF22" s="17" t="s">
        <v>128</v>
      </c>
      <c r="AG22" s="17">
        <v>19.100000000000001</v>
      </c>
      <c r="AH22" s="18">
        <v>287</v>
      </c>
    </row>
    <row r="23" spans="1:34">
      <c r="A23" t="s">
        <v>338</v>
      </c>
      <c r="B23" t="s">
        <v>129</v>
      </c>
      <c r="D23" s="17">
        <v>14</v>
      </c>
      <c r="E23" s="17">
        <v>18</v>
      </c>
      <c r="F23" s="18">
        <v>254</v>
      </c>
      <c r="H23" s="17">
        <v>16</v>
      </c>
      <c r="I23" s="17">
        <v>21</v>
      </c>
      <c r="J23" s="18">
        <v>346</v>
      </c>
      <c r="L23" s="17">
        <v>16</v>
      </c>
      <c r="M23" s="17">
        <v>23</v>
      </c>
      <c r="N23" s="18">
        <v>415</v>
      </c>
      <c r="P23" s="17">
        <v>30</v>
      </c>
      <c r="Q23" s="17">
        <v>41</v>
      </c>
      <c r="R23" s="18">
        <v>1320</v>
      </c>
      <c r="T23" s="17">
        <v>28</v>
      </c>
      <c r="U23" s="17">
        <v>36.5</v>
      </c>
      <c r="V23" s="18">
        <v>1046</v>
      </c>
      <c r="X23" s="17">
        <v>14</v>
      </c>
      <c r="Y23" s="17">
        <v>21.5</v>
      </c>
      <c r="Z23" s="18">
        <v>363</v>
      </c>
      <c r="AB23" s="17" t="s">
        <v>130</v>
      </c>
      <c r="AC23" s="17">
        <v>26.5</v>
      </c>
      <c r="AD23" s="18">
        <v>552</v>
      </c>
      <c r="AF23" s="17" t="s">
        <v>131</v>
      </c>
      <c r="AG23" s="17">
        <v>25.4</v>
      </c>
      <c r="AH23" s="18">
        <v>507</v>
      </c>
    </row>
    <row r="24" spans="1:34">
      <c r="A24" t="s">
        <v>338</v>
      </c>
      <c r="B24" t="s">
        <v>27</v>
      </c>
      <c r="D24" s="17">
        <v>26</v>
      </c>
      <c r="E24" s="17">
        <v>22</v>
      </c>
      <c r="F24" s="18">
        <v>380</v>
      </c>
      <c r="H24" s="17">
        <v>22</v>
      </c>
      <c r="I24" s="17">
        <v>27.5</v>
      </c>
      <c r="J24" s="18">
        <v>594</v>
      </c>
      <c r="L24" s="17">
        <v>22</v>
      </c>
      <c r="M24" s="17">
        <v>30.5</v>
      </c>
      <c r="N24" s="18">
        <v>731</v>
      </c>
      <c r="P24" s="17">
        <v>40</v>
      </c>
      <c r="Q24" s="17">
        <v>55</v>
      </c>
      <c r="R24" s="18">
        <v>2376</v>
      </c>
      <c r="T24" s="17">
        <v>36</v>
      </c>
      <c r="U24" s="17">
        <v>45.5</v>
      </c>
      <c r="V24" s="18">
        <v>1626</v>
      </c>
      <c r="X24" s="17">
        <v>16</v>
      </c>
      <c r="Y24" s="17">
        <v>23</v>
      </c>
      <c r="Z24" s="18">
        <v>415</v>
      </c>
      <c r="AB24" s="17" t="s">
        <v>132</v>
      </c>
      <c r="AC24" s="17">
        <v>33.299999999999997</v>
      </c>
      <c r="AD24" s="18">
        <v>871</v>
      </c>
      <c r="AF24" s="17" t="s">
        <v>133</v>
      </c>
      <c r="AG24" s="17">
        <v>31.8</v>
      </c>
      <c r="AH24" s="18">
        <v>794</v>
      </c>
    </row>
    <row r="25" spans="1:34">
      <c r="A25" t="s">
        <v>338</v>
      </c>
      <c r="B25" t="s">
        <v>134</v>
      </c>
      <c r="D25" s="17">
        <v>22</v>
      </c>
      <c r="E25" s="17">
        <v>26</v>
      </c>
      <c r="F25" s="18">
        <v>531</v>
      </c>
      <c r="H25" s="17">
        <v>28</v>
      </c>
      <c r="I25" s="17">
        <v>34</v>
      </c>
      <c r="J25" s="18">
        <v>908</v>
      </c>
      <c r="L25" s="17">
        <v>28</v>
      </c>
      <c r="M25" s="17">
        <v>36.5</v>
      </c>
      <c r="N25" s="18">
        <v>1046</v>
      </c>
      <c r="P25" s="17">
        <v>50</v>
      </c>
      <c r="Q25" s="17">
        <v>66</v>
      </c>
      <c r="R25" s="18">
        <v>3421</v>
      </c>
      <c r="T25" s="17">
        <v>42</v>
      </c>
      <c r="U25" s="17">
        <v>52</v>
      </c>
      <c r="V25" s="18">
        <v>2124</v>
      </c>
      <c r="X25" s="17">
        <v>22</v>
      </c>
      <c r="Y25" s="17">
        <v>30.5</v>
      </c>
      <c r="Z25" s="18">
        <v>731</v>
      </c>
      <c r="AB25" s="17" t="s">
        <v>135</v>
      </c>
      <c r="AC25" s="17">
        <v>41.9</v>
      </c>
      <c r="AD25" s="18">
        <v>1379</v>
      </c>
      <c r="AF25" s="17" t="s">
        <v>136</v>
      </c>
      <c r="AG25" s="17">
        <v>38.1</v>
      </c>
      <c r="AH25" s="18">
        <v>1140</v>
      </c>
    </row>
    <row r="26" spans="1:34">
      <c r="A26" t="s">
        <v>338</v>
      </c>
      <c r="B26" t="s">
        <v>137</v>
      </c>
      <c r="D26" s="17">
        <v>28</v>
      </c>
      <c r="E26" s="17">
        <v>34</v>
      </c>
      <c r="F26" s="18">
        <v>908</v>
      </c>
      <c r="H26" s="17">
        <v>36</v>
      </c>
      <c r="I26" s="17">
        <v>42</v>
      </c>
      <c r="J26" s="18">
        <v>1385</v>
      </c>
      <c r="L26" s="17">
        <v>36</v>
      </c>
      <c r="M26" s="17">
        <v>45.5</v>
      </c>
      <c r="N26" s="18">
        <v>1626</v>
      </c>
      <c r="P26" s="17">
        <v>65</v>
      </c>
      <c r="Q26" s="17">
        <v>86</v>
      </c>
      <c r="R26" s="18">
        <v>5809</v>
      </c>
      <c r="T26" s="17">
        <v>54</v>
      </c>
      <c r="U26" s="17">
        <v>64.5</v>
      </c>
      <c r="V26" s="18">
        <v>3267</v>
      </c>
      <c r="X26" s="17">
        <v>28</v>
      </c>
      <c r="Y26" s="17">
        <v>36.5</v>
      </c>
      <c r="Z26" s="18">
        <v>1046</v>
      </c>
      <c r="AB26" s="17" t="s">
        <v>138</v>
      </c>
      <c r="AC26" s="17">
        <v>47.8</v>
      </c>
      <c r="AD26" s="18">
        <v>1795</v>
      </c>
      <c r="AF26" s="17" t="s">
        <v>139</v>
      </c>
      <c r="AG26" s="17">
        <v>50.8</v>
      </c>
      <c r="AH26" s="18">
        <v>2027</v>
      </c>
    </row>
    <row r="27" spans="1:34">
      <c r="A27" t="s">
        <v>338</v>
      </c>
      <c r="B27" t="s">
        <v>140</v>
      </c>
      <c r="D27" s="17">
        <v>36</v>
      </c>
      <c r="E27" s="17">
        <v>42</v>
      </c>
      <c r="F27" s="18">
        <v>1385</v>
      </c>
      <c r="H27" s="17">
        <v>42</v>
      </c>
      <c r="I27" s="17">
        <v>48</v>
      </c>
      <c r="J27" s="18">
        <v>1810</v>
      </c>
      <c r="L27" s="17">
        <v>42</v>
      </c>
      <c r="M27" s="17">
        <v>52</v>
      </c>
      <c r="N27" s="18">
        <v>2124</v>
      </c>
      <c r="P27" s="17">
        <v>80</v>
      </c>
      <c r="Q27" s="17">
        <v>103</v>
      </c>
      <c r="R27" s="18">
        <v>8332</v>
      </c>
      <c r="T27" s="17">
        <v>70</v>
      </c>
      <c r="U27" s="17">
        <v>81</v>
      </c>
      <c r="V27" s="18">
        <v>5153</v>
      </c>
      <c r="X27" s="17">
        <v>36</v>
      </c>
      <c r="Y27" s="17">
        <v>45.5</v>
      </c>
      <c r="Z27" s="18">
        <v>1626</v>
      </c>
      <c r="AB27" s="17" t="s">
        <v>141</v>
      </c>
      <c r="AC27" s="17">
        <v>59.6</v>
      </c>
      <c r="AD27" s="18">
        <v>2790</v>
      </c>
      <c r="AF27" s="17" t="s">
        <v>142</v>
      </c>
      <c r="AG27" s="17">
        <v>63.5</v>
      </c>
      <c r="AH27" s="18">
        <v>3167</v>
      </c>
    </row>
    <row r="28" spans="1:34">
      <c r="A28" t="s">
        <v>338</v>
      </c>
      <c r="B28" t="s">
        <v>143</v>
      </c>
      <c r="D28" s="17">
        <v>42</v>
      </c>
      <c r="E28" s="17">
        <v>48</v>
      </c>
      <c r="F28" s="18">
        <v>1810</v>
      </c>
      <c r="H28" s="17">
        <v>54</v>
      </c>
      <c r="I28" s="17">
        <v>60</v>
      </c>
      <c r="J28" s="18">
        <v>2827</v>
      </c>
      <c r="L28" s="17">
        <v>54</v>
      </c>
      <c r="M28" s="17">
        <v>64.5</v>
      </c>
      <c r="N28" s="18">
        <v>3267</v>
      </c>
      <c r="T28" s="17">
        <v>82</v>
      </c>
      <c r="U28" s="17">
        <v>94.5</v>
      </c>
      <c r="V28" s="21">
        <v>7014</v>
      </c>
      <c r="X28" s="17">
        <v>42</v>
      </c>
      <c r="Y28" s="17">
        <v>52</v>
      </c>
      <c r="Z28" s="18">
        <v>2124</v>
      </c>
      <c r="AB28" s="17" t="s">
        <v>144</v>
      </c>
      <c r="AC28" s="17">
        <v>75.2</v>
      </c>
      <c r="AD28" s="18">
        <v>4441</v>
      </c>
      <c r="AF28" s="17" t="s">
        <v>145</v>
      </c>
      <c r="AG28" s="17">
        <v>76.2</v>
      </c>
      <c r="AH28" s="18">
        <v>4560</v>
      </c>
    </row>
    <row r="29" spans="1:34">
      <c r="A29" t="s">
        <v>338</v>
      </c>
      <c r="B29" t="s">
        <v>146</v>
      </c>
      <c r="D29" s="17">
        <v>54</v>
      </c>
      <c r="E29" s="17">
        <v>60</v>
      </c>
      <c r="F29" s="18">
        <v>2827</v>
      </c>
      <c r="T29" s="17">
        <v>100</v>
      </c>
      <c r="U29" s="17">
        <v>116.5</v>
      </c>
      <c r="V29" s="21">
        <v>10660</v>
      </c>
      <c r="X29" s="17">
        <v>54</v>
      </c>
      <c r="Y29" s="17">
        <v>64.5</v>
      </c>
      <c r="Z29" s="18">
        <v>3267</v>
      </c>
      <c r="AB29" s="17" t="s">
        <v>147</v>
      </c>
      <c r="AC29" s="17">
        <v>87.9</v>
      </c>
      <c r="AD29" s="18">
        <v>6068</v>
      </c>
    </row>
    <row r="30" spans="1:34">
      <c r="A30" t="s">
        <v>338</v>
      </c>
      <c r="B30" t="s">
        <v>148</v>
      </c>
      <c r="D30" s="17">
        <v>70</v>
      </c>
      <c r="E30" s="17">
        <v>76</v>
      </c>
      <c r="F30" s="18">
        <v>4536</v>
      </c>
      <c r="AB30" s="17" t="s">
        <v>149</v>
      </c>
      <c r="AC30" s="17">
        <v>100.7</v>
      </c>
      <c r="AD30" s="18">
        <v>7964</v>
      </c>
    </row>
    <row r="31" spans="1:34">
      <c r="A31" t="s">
        <v>338</v>
      </c>
      <c r="B31" t="s">
        <v>150</v>
      </c>
      <c r="D31" s="17">
        <v>82</v>
      </c>
      <c r="E31" s="17">
        <v>89</v>
      </c>
      <c r="F31" s="18">
        <v>6221</v>
      </c>
      <c r="AB31" s="17" t="s">
        <v>151</v>
      </c>
      <c r="AC31" s="17">
        <v>113.4</v>
      </c>
      <c r="AD31" s="18">
        <v>10100</v>
      </c>
    </row>
    <row r="32" spans="1:34">
      <c r="A32" t="s">
        <v>338</v>
      </c>
      <c r="B32" t="s">
        <v>152</v>
      </c>
      <c r="D32" s="17">
        <v>100</v>
      </c>
      <c r="E32" s="17">
        <v>114</v>
      </c>
      <c r="F32" s="18">
        <v>10207</v>
      </c>
    </row>
    <row r="33" spans="1:30">
      <c r="A33" t="s">
        <v>338</v>
      </c>
      <c r="B33" t="s">
        <v>153</v>
      </c>
    </row>
    <row r="34" spans="1:30">
      <c r="A34" t="s">
        <v>338</v>
      </c>
      <c r="B34" t="s">
        <v>154</v>
      </c>
      <c r="D34" s="22" t="s">
        <v>121</v>
      </c>
      <c r="H34" s="22" t="s">
        <v>153</v>
      </c>
      <c r="L34" s="22" t="s">
        <v>154</v>
      </c>
      <c r="P34" s="22" t="s">
        <v>155</v>
      </c>
      <c r="T34" s="22" t="s">
        <v>16</v>
      </c>
      <c r="X34" s="22" t="s">
        <v>156</v>
      </c>
      <c r="AB34" s="22" t="s">
        <v>157</v>
      </c>
    </row>
    <row r="35" spans="1:30">
      <c r="A35" t="s">
        <v>338</v>
      </c>
      <c r="B35" t="s">
        <v>155</v>
      </c>
      <c r="D35" s="16" t="s">
        <v>111</v>
      </c>
      <c r="E35" s="16" t="s">
        <v>109</v>
      </c>
      <c r="F35" s="16" t="s">
        <v>110</v>
      </c>
      <c r="H35" s="16" t="s">
        <v>111</v>
      </c>
      <c r="I35" s="16" t="s">
        <v>109</v>
      </c>
      <c r="J35" s="16" t="s">
        <v>110</v>
      </c>
      <c r="L35" s="16" t="s">
        <v>111</v>
      </c>
      <c r="M35" s="16" t="s">
        <v>109</v>
      </c>
      <c r="N35" s="16" t="s">
        <v>110</v>
      </c>
      <c r="P35" s="16" t="s">
        <v>111</v>
      </c>
      <c r="Q35" s="16" t="s">
        <v>109</v>
      </c>
      <c r="R35" s="16" t="s">
        <v>110</v>
      </c>
      <c r="T35" s="16" t="s">
        <v>111</v>
      </c>
      <c r="U35" s="16" t="s">
        <v>109</v>
      </c>
      <c r="V35" s="16" t="s">
        <v>110</v>
      </c>
      <c r="X35" s="16" t="s">
        <v>111</v>
      </c>
      <c r="Y35" s="16" t="s">
        <v>109</v>
      </c>
      <c r="Z35" s="16" t="s">
        <v>110</v>
      </c>
      <c r="AB35" s="16" t="s">
        <v>111</v>
      </c>
      <c r="AC35" s="16" t="s">
        <v>109</v>
      </c>
      <c r="AD35" s="16" t="s">
        <v>110</v>
      </c>
    </row>
    <row r="36" spans="1:30">
      <c r="A36" t="s">
        <v>338</v>
      </c>
      <c r="B36" t="s">
        <v>16</v>
      </c>
      <c r="D36" s="17">
        <v>10</v>
      </c>
      <c r="E36" s="17">
        <v>14.9</v>
      </c>
      <c r="F36" s="18">
        <v>174</v>
      </c>
      <c r="H36" s="17">
        <v>16</v>
      </c>
      <c r="I36" s="17">
        <v>21</v>
      </c>
      <c r="J36" s="18">
        <v>346</v>
      </c>
      <c r="L36" s="17">
        <v>16</v>
      </c>
      <c r="M36" s="17">
        <v>31</v>
      </c>
      <c r="N36" s="18">
        <v>755</v>
      </c>
      <c r="P36" s="17">
        <v>16</v>
      </c>
      <c r="Q36" s="17">
        <v>61</v>
      </c>
      <c r="R36" s="18">
        <v>2922</v>
      </c>
      <c r="T36" s="17">
        <v>7</v>
      </c>
      <c r="U36" s="17">
        <v>20</v>
      </c>
      <c r="V36" s="18">
        <v>314</v>
      </c>
      <c r="X36" s="17">
        <v>7</v>
      </c>
      <c r="Y36" s="17">
        <v>30</v>
      </c>
      <c r="Z36" s="18">
        <v>707</v>
      </c>
      <c r="AB36" s="17">
        <v>7</v>
      </c>
      <c r="AC36" s="17">
        <v>50</v>
      </c>
      <c r="AD36" s="18">
        <v>1963</v>
      </c>
    </row>
    <row r="37" spans="1:30">
      <c r="A37" t="s">
        <v>338</v>
      </c>
      <c r="B37" t="s">
        <v>156</v>
      </c>
      <c r="D37" s="17">
        <v>12</v>
      </c>
      <c r="E37" s="17">
        <v>17.7</v>
      </c>
      <c r="F37" s="18">
        <v>246</v>
      </c>
      <c r="H37" s="17">
        <v>18</v>
      </c>
      <c r="I37" s="17">
        <v>23</v>
      </c>
      <c r="J37" s="18">
        <v>415</v>
      </c>
      <c r="L37" s="17">
        <v>18</v>
      </c>
      <c r="M37" s="17">
        <v>33</v>
      </c>
      <c r="N37" s="18">
        <v>855</v>
      </c>
      <c r="P37" s="17">
        <v>18</v>
      </c>
      <c r="Q37" s="17">
        <v>63</v>
      </c>
      <c r="R37" s="18">
        <v>3117</v>
      </c>
      <c r="T37" s="17">
        <v>10</v>
      </c>
      <c r="U37" s="17">
        <v>23</v>
      </c>
      <c r="V37" s="18">
        <v>415</v>
      </c>
      <c r="X37" s="17">
        <v>10</v>
      </c>
      <c r="Y37" s="17">
        <v>33</v>
      </c>
      <c r="Z37" s="18">
        <v>855</v>
      </c>
      <c r="AB37" s="17">
        <v>10</v>
      </c>
      <c r="AC37" s="17">
        <v>53</v>
      </c>
      <c r="AD37" s="18">
        <v>2206</v>
      </c>
    </row>
    <row r="38" spans="1:30">
      <c r="A38" t="s">
        <v>338</v>
      </c>
      <c r="B38" t="s">
        <v>157</v>
      </c>
      <c r="D38" s="17">
        <v>15</v>
      </c>
      <c r="E38" s="17">
        <v>20.6</v>
      </c>
      <c r="F38" s="18">
        <v>333</v>
      </c>
      <c r="H38" s="17">
        <v>22</v>
      </c>
      <c r="I38" s="17">
        <v>28</v>
      </c>
      <c r="J38" s="18">
        <v>616</v>
      </c>
      <c r="L38" s="17">
        <v>22</v>
      </c>
      <c r="M38" s="17">
        <v>38</v>
      </c>
      <c r="N38" s="18">
        <v>1134</v>
      </c>
      <c r="P38" s="17">
        <v>22</v>
      </c>
      <c r="Q38" s="17">
        <v>68</v>
      </c>
      <c r="R38" s="18">
        <v>3632</v>
      </c>
      <c r="T38" s="17">
        <v>13</v>
      </c>
      <c r="U38" s="17">
        <v>27</v>
      </c>
      <c r="V38" s="18">
        <v>573</v>
      </c>
      <c r="X38" s="17">
        <v>13</v>
      </c>
      <c r="Y38" s="17">
        <v>37</v>
      </c>
      <c r="Z38" s="18">
        <v>1075</v>
      </c>
      <c r="AB38" s="17">
        <v>13</v>
      </c>
      <c r="AC38" s="17">
        <v>57</v>
      </c>
      <c r="AD38" s="18">
        <v>2552</v>
      </c>
    </row>
    <row r="39" spans="1:30">
      <c r="A39" t="s">
        <v>338</v>
      </c>
      <c r="B39" t="s">
        <v>158</v>
      </c>
      <c r="D39" s="17">
        <v>17</v>
      </c>
      <c r="E39" s="17">
        <v>23.1</v>
      </c>
      <c r="F39" s="18">
        <v>419</v>
      </c>
      <c r="H39" s="17">
        <v>25</v>
      </c>
      <c r="I39" s="17">
        <v>30.5</v>
      </c>
      <c r="J39" s="18">
        <v>731</v>
      </c>
      <c r="L39" s="17">
        <v>25</v>
      </c>
      <c r="M39" s="17">
        <v>40.5</v>
      </c>
      <c r="N39" s="18">
        <v>1288</v>
      </c>
      <c r="P39" s="17">
        <v>25</v>
      </c>
      <c r="Q39" s="17">
        <v>70.5</v>
      </c>
      <c r="R39" s="18">
        <v>3904</v>
      </c>
      <c r="T39" s="17">
        <v>16</v>
      </c>
      <c r="U39" s="17">
        <v>31.5</v>
      </c>
      <c r="V39" s="18">
        <v>779</v>
      </c>
      <c r="X39" s="17">
        <v>16</v>
      </c>
      <c r="Y39" s="17">
        <v>41.5</v>
      </c>
      <c r="Z39" s="18">
        <v>1353</v>
      </c>
      <c r="AB39" s="17">
        <v>16</v>
      </c>
      <c r="AC39" s="17">
        <v>61.5</v>
      </c>
      <c r="AD39" s="18">
        <v>2971</v>
      </c>
    </row>
    <row r="40" spans="1:30">
      <c r="A40" t="s">
        <v>338</v>
      </c>
      <c r="B40" t="s">
        <v>159</v>
      </c>
      <c r="D40" s="17">
        <v>24</v>
      </c>
      <c r="E40" s="17">
        <v>30.4</v>
      </c>
      <c r="F40" s="18">
        <v>726</v>
      </c>
      <c r="H40" s="17">
        <v>28</v>
      </c>
      <c r="I40" s="17">
        <v>34</v>
      </c>
      <c r="J40" s="18">
        <v>908</v>
      </c>
      <c r="L40" s="17">
        <v>28</v>
      </c>
      <c r="M40" s="17">
        <v>44</v>
      </c>
      <c r="N40" s="18">
        <v>1521</v>
      </c>
      <c r="P40" s="17">
        <v>28</v>
      </c>
      <c r="Q40" s="17">
        <v>74</v>
      </c>
      <c r="R40" s="18">
        <v>4301</v>
      </c>
      <c r="T40" s="17">
        <v>20</v>
      </c>
      <c r="U40" s="17">
        <v>37</v>
      </c>
      <c r="V40" s="18">
        <v>1075</v>
      </c>
      <c r="X40" s="17">
        <v>20</v>
      </c>
      <c r="Y40" s="17">
        <v>47</v>
      </c>
      <c r="Z40" s="18">
        <v>1735</v>
      </c>
      <c r="AB40" s="17">
        <v>20</v>
      </c>
      <c r="AC40" s="17">
        <v>67</v>
      </c>
      <c r="AD40" s="18">
        <v>3526</v>
      </c>
    </row>
    <row r="41" spans="1:30">
      <c r="A41" t="s">
        <v>338</v>
      </c>
      <c r="B41" t="s">
        <v>15</v>
      </c>
      <c r="D41" s="17">
        <v>30</v>
      </c>
      <c r="E41" s="17">
        <v>36.5</v>
      </c>
      <c r="F41" s="18">
        <v>1046</v>
      </c>
      <c r="H41" s="17">
        <v>30</v>
      </c>
      <c r="I41" s="17">
        <v>36.5</v>
      </c>
      <c r="J41" s="18">
        <v>1046</v>
      </c>
      <c r="L41" s="17">
        <v>30</v>
      </c>
      <c r="M41" s="17">
        <v>46.5</v>
      </c>
      <c r="N41" s="18">
        <v>1698</v>
      </c>
      <c r="P41" s="17">
        <v>30</v>
      </c>
      <c r="Q41" s="17">
        <v>76.5</v>
      </c>
      <c r="R41" s="18">
        <v>4596</v>
      </c>
      <c r="T41" s="17">
        <v>25</v>
      </c>
      <c r="U41" s="17">
        <v>44</v>
      </c>
      <c r="V41" s="18">
        <v>1521</v>
      </c>
      <c r="X41" s="17">
        <v>25</v>
      </c>
      <c r="Y41" s="17">
        <v>54</v>
      </c>
      <c r="Z41" s="18">
        <v>2290</v>
      </c>
      <c r="AB41" s="17">
        <v>25</v>
      </c>
      <c r="AC41" s="17">
        <v>74</v>
      </c>
      <c r="AD41" s="18">
        <v>4301</v>
      </c>
    </row>
    <row r="42" spans="1:30">
      <c r="A42" t="s">
        <v>338</v>
      </c>
      <c r="B42" t="s">
        <v>160</v>
      </c>
      <c r="D42" s="17">
        <v>38</v>
      </c>
      <c r="E42" s="17">
        <v>44.9</v>
      </c>
      <c r="F42" s="18">
        <v>1583</v>
      </c>
      <c r="H42" s="17">
        <v>36</v>
      </c>
      <c r="I42" s="17">
        <v>42</v>
      </c>
      <c r="J42" s="18">
        <v>1385</v>
      </c>
      <c r="L42" s="17">
        <v>36</v>
      </c>
      <c r="M42" s="17">
        <v>52</v>
      </c>
      <c r="N42" s="18">
        <v>2124</v>
      </c>
      <c r="P42" s="17">
        <v>36</v>
      </c>
      <c r="Q42" s="17">
        <v>82</v>
      </c>
      <c r="R42" s="18">
        <v>5281</v>
      </c>
    </row>
    <row r="43" spans="1:30">
      <c r="A43" t="s">
        <v>338</v>
      </c>
      <c r="B43" t="s">
        <v>161</v>
      </c>
      <c r="D43" s="17">
        <v>50</v>
      </c>
      <c r="E43" s="17">
        <v>56.9</v>
      </c>
      <c r="F43" s="18">
        <v>2543</v>
      </c>
      <c r="H43" s="17">
        <v>42</v>
      </c>
      <c r="I43" s="17">
        <v>47.7</v>
      </c>
      <c r="J43" s="18">
        <v>1787</v>
      </c>
      <c r="L43" s="17">
        <v>42</v>
      </c>
      <c r="M43" s="17">
        <v>57.7</v>
      </c>
      <c r="N43" s="18">
        <v>2615</v>
      </c>
      <c r="P43" s="17">
        <v>42</v>
      </c>
      <c r="Q43" s="17">
        <v>87.7</v>
      </c>
      <c r="R43" s="18">
        <v>6041</v>
      </c>
    </row>
    <row r="44" spans="1:30">
      <c r="A44" t="s">
        <v>338</v>
      </c>
      <c r="B44" t="s">
        <v>162</v>
      </c>
      <c r="D44" s="17">
        <v>63</v>
      </c>
      <c r="E44" s="17">
        <v>71.5</v>
      </c>
      <c r="F44" s="18">
        <v>4015</v>
      </c>
      <c r="H44" s="17" t="s">
        <v>163</v>
      </c>
      <c r="I44" s="17"/>
      <c r="J44" s="18">
        <v>664</v>
      </c>
    </row>
    <row r="45" spans="1:30">
      <c r="A45" t="s">
        <v>338</v>
      </c>
      <c r="B45" t="s">
        <v>164</v>
      </c>
      <c r="D45" s="17">
        <v>76</v>
      </c>
      <c r="E45" s="17">
        <v>85.3</v>
      </c>
      <c r="F45" s="18">
        <v>5715</v>
      </c>
      <c r="H45" s="17" t="s">
        <v>165</v>
      </c>
      <c r="I45" s="17"/>
      <c r="J45" s="18">
        <v>848</v>
      </c>
    </row>
    <row r="46" spans="1:30">
      <c r="A46" t="s">
        <v>338</v>
      </c>
      <c r="B46" t="s">
        <v>166</v>
      </c>
      <c r="D46" s="17">
        <v>83</v>
      </c>
      <c r="E46" s="17">
        <v>90.9</v>
      </c>
      <c r="F46" s="18">
        <v>6490</v>
      </c>
    </row>
    <row r="47" spans="1:30">
      <c r="A47" t="s">
        <v>338</v>
      </c>
      <c r="B47" t="s">
        <v>167</v>
      </c>
      <c r="D47" s="17">
        <v>101</v>
      </c>
      <c r="E47" s="17">
        <v>110.1</v>
      </c>
      <c r="F47" s="18">
        <v>9521</v>
      </c>
    </row>
    <row r="48" spans="1:30">
      <c r="A48" t="s">
        <v>338</v>
      </c>
      <c r="B48" t="s">
        <v>168</v>
      </c>
    </row>
    <row r="49" spans="1:34">
      <c r="A49" t="s">
        <v>338</v>
      </c>
      <c r="B49" t="s">
        <v>169</v>
      </c>
      <c r="D49" s="22" t="s">
        <v>158</v>
      </c>
      <c r="H49" s="22" t="s">
        <v>159</v>
      </c>
      <c r="L49" s="22" t="s">
        <v>15</v>
      </c>
      <c r="P49" s="22" t="s">
        <v>160</v>
      </c>
      <c r="T49" s="22" t="s">
        <v>161</v>
      </c>
      <c r="X49" s="22" t="s">
        <v>162</v>
      </c>
      <c r="AB49" s="22" t="s">
        <v>164</v>
      </c>
      <c r="AF49" s="22" t="s">
        <v>166</v>
      </c>
    </row>
    <row r="50" spans="1:34">
      <c r="A50" t="s">
        <v>338</v>
      </c>
      <c r="B50" t="s">
        <v>170</v>
      </c>
      <c r="D50" s="16" t="s">
        <v>111</v>
      </c>
      <c r="E50" s="16" t="s">
        <v>109</v>
      </c>
      <c r="F50" s="16" t="s">
        <v>110</v>
      </c>
      <c r="H50" s="16" t="s">
        <v>111</v>
      </c>
      <c r="I50" s="16" t="s">
        <v>109</v>
      </c>
      <c r="J50" s="16" t="s">
        <v>110</v>
      </c>
      <c r="L50" s="16" t="s">
        <v>111</v>
      </c>
      <c r="M50" s="16" t="s">
        <v>109</v>
      </c>
      <c r="N50" s="16" t="s">
        <v>110</v>
      </c>
      <c r="P50" s="16" t="s">
        <v>111</v>
      </c>
      <c r="Q50" s="16" t="s">
        <v>109</v>
      </c>
      <c r="R50" s="16" t="s">
        <v>110</v>
      </c>
      <c r="T50" s="16" t="s">
        <v>111</v>
      </c>
      <c r="U50" s="16" t="s">
        <v>109</v>
      </c>
      <c r="V50" s="16" t="s">
        <v>110</v>
      </c>
      <c r="X50" s="16" t="s">
        <v>111</v>
      </c>
      <c r="Y50" s="16" t="s">
        <v>109</v>
      </c>
      <c r="Z50" s="16" t="s">
        <v>110</v>
      </c>
      <c r="AB50" s="16" t="s">
        <v>111</v>
      </c>
      <c r="AC50" s="16" t="s">
        <v>109</v>
      </c>
      <c r="AD50" s="16" t="s">
        <v>110</v>
      </c>
      <c r="AF50" s="16" t="s">
        <v>111</v>
      </c>
      <c r="AG50" s="16" t="s">
        <v>109</v>
      </c>
      <c r="AH50" s="16" t="s">
        <v>110</v>
      </c>
    </row>
    <row r="51" spans="1:34">
      <c r="A51" t="s">
        <v>338</v>
      </c>
      <c r="B51" t="s">
        <v>171</v>
      </c>
      <c r="D51" s="17">
        <v>10</v>
      </c>
      <c r="E51" s="17">
        <v>23</v>
      </c>
      <c r="F51" s="18">
        <v>415</v>
      </c>
      <c r="H51" s="17">
        <v>10</v>
      </c>
      <c r="I51" s="17">
        <v>33</v>
      </c>
      <c r="J51" s="18">
        <v>855</v>
      </c>
      <c r="L51" s="17">
        <v>10</v>
      </c>
      <c r="M51" s="17">
        <v>53</v>
      </c>
      <c r="N51" s="18">
        <v>2206</v>
      </c>
      <c r="P51" s="17">
        <v>10</v>
      </c>
      <c r="Q51" s="17">
        <v>23</v>
      </c>
      <c r="R51" s="18">
        <v>415</v>
      </c>
      <c r="T51" s="17">
        <v>10</v>
      </c>
      <c r="U51" s="17">
        <v>33</v>
      </c>
      <c r="V51" s="18">
        <v>855</v>
      </c>
      <c r="X51" s="17">
        <v>10</v>
      </c>
      <c r="Y51" s="17">
        <v>53</v>
      </c>
      <c r="Z51" s="18">
        <v>2206</v>
      </c>
      <c r="AB51" s="17">
        <v>10</v>
      </c>
      <c r="AC51" s="17">
        <v>17</v>
      </c>
      <c r="AD51" s="18">
        <v>227</v>
      </c>
      <c r="AF51" s="17">
        <v>10</v>
      </c>
      <c r="AG51" s="17">
        <v>19</v>
      </c>
      <c r="AH51" s="18">
        <v>284</v>
      </c>
    </row>
    <row r="52" spans="1:34">
      <c r="A52" t="s">
        <v>338</v>
      </c>
      <c r="B52" t="s">
        <v>172</v>
      </c>
      <c r="D52" s="17">
        <v>13</v>
      </c>
      <c r="E52" s="17">
        <v>27</v>
      </c>
      <c r="F52" s="18">
        <v>573</v>
      </c>
      <c r="H52" s="17">
        <v>13</v>
      </c>
      <c r="I52" s="17">
        <v>37</v>
      </c>
      <c r="J52" s="18">
        <v>1075</v>
      </c>
      <c r="L52" s="17">
        <v>13</v>
      </c>
      <c r="M52" s="17">
        <v>57</v>
      </c>
      <c r="N52" s="18">
        <v>2552</v>
      </c>
      <c r="P52" s="17">
        <v>13</v>
      </c>
      <c r="Q52" s="17">
        <v>27</v>
      </c>
      <c r="R52" s="18">
        <v>573</v>
      </c>
      <c r="T52" s="17">
        <v>13</v>
      </c>
      <c r="U52" s="17">
        <v>37</v>
      </c>
      <c r="V52" s="18">
        <v>1075</v>
      </c>
      <c r="X52" s="17">
        <v>13</v>
      </c>
      <c r="Y52" s="17">
        <v>57</v>
      </c>
      <c r="Z52" s="18">
        <v>2552</v>
      </c>
      <c r="AB52" s="17">
        <v>13</v>
      </c>
      <c r="AC52" s="17">
        <v>21</v>
      </c>
      <c r="AD52" s="18">
        <v>346</v>
      </c>
      <c r="AF52" s="17">
        <v>13</v>
      </c>
      <c r="AG52" s="17">
        <v>23.5</v>
      </c>
      <c r="AH52" s="18">
        <v>434</v>
      </c>
    </row>
    <row r="53" spans="1:34">
      <c r="A53" t="s">
        <v>338</v>
      </c>
      <c r="B53" t="s">
        <v>173</v>
      </c>
      <c r="D53" s="17">
        <v>16</v>
      </c>
      <c r="E53" s="17">
        <v>31.5</v>
      </c>
      <c r="F53" s="18">
        <v>779</v>
      </c>
      <c r="H53" s="17">
        <v>16</v>
      </c>
      <c r="I53" s="17">
        <v>41.5</v>
      </c>
      <c r="J53" s="18">
        <v>1353</v>
      </c>
      <c r="L53" s="17">
        <v>16</v>
      </c>
      <c r="M53" s="17">
        <v>61.5</v>
      </c>
      <c r="N53" s="18">
        <v>2971</v>
      </c>
      <c r="P53" s="17">
        <v>16</v>
      </c>
      <c r="Q53" s="17">
        <v>32</v>
      </c>
      <c r="R53" s="18">
        <v>804</v>
      </c>
      <c r="T53" s="17">
        <v>16</v>
      </c>
      <c r="U53" s="17">
        <v>42</v>
      </c>
      <c r="V53" s="18">
        <v>1385</v>
      </c>
      <c r="X53" s="17">
        <v>16</v>
      </c>
      <c r="Y53" s="17">
        <v>62</v>
      </c>
      <c r="Z53" s="18">
        <v>3019</v>
      </c>
      <c r="AB53" s="17">
        <v>16</v>
      </c>
      <c r="AC53" s="17">
        <v>25.5</v>
      </c>
      <c r="AD53" s="18">
        <v>511</v>
      </c>
      <c r="AF53" s="17">
        <v>16</v>
      </c>
      <c r="AG53" s="17">
        <v>31</v>
      </c>
      <c r="AH53" s="18">
        <v>755</v>
      </c>
    </row>
    <row r="54" spans="1:34">
      <c r="A54" t="s">
        <v>338</v>
      </c>
      <c r="B54" t="s">
        <v>174</v>
      </c>
      <c r="D54" s="17">
        <v>20</v>
      </c>
      <c r="E54" s="17">
        <v>37</v>
      </c>
      <c r="F54" s="18">
        <v>1075</v>
      </c>
      <c r="H54" s="17">
        <v>20</v>
      </c>
      <c r="I54" s="17">
        <v>47</v>
      </c>
      <c r="J54" s="18">
        <v>1735</v>
      </c>
      <c r="L54" s="17">
        <v>20</v>
      </c>
      <c r="M54" s="17">
        <v>67</v>
      </c>
      <c r="N54" s="18">
        <v>3526</v>
      </c>
      <c r="P54" s="17">
        <v>20</v>
      </c>
      <c r="Q54" s="17">
        <v>37</v>
      </c>
      <c r="R54" s="18">
        <v>1075</v>
      </c>
      <c r="T54" s="17">
        <v>20</v>
      </c>
      <c r="U54" s="17">
        <v>47</v>
      </c>
      <c r="V54" s="18">
        <v>1735</v>
      </c>
      <c r="X54" s="17">
        <v>20</v>
      </c>
      <c r="Y54" s="17">
        <v>67</v>
      </c>
      <c r="Z54" s="18">
        <v>3526</v>
      </c>
      <c r="AB54" s="17">
        <v>20</v>
      </c>
      <c r="AC54" s="17">
        <v>31</v>
      </c>
      <c r="AD54" s="18">
        <v>755</v>
      </c>
      <c r="AF54" s="17">
        <v>20</v>
      </c>
      <c r="AG54" s="17">
        <v>42</v>
      </c>
      <c r="AH54" s="18">
        <v>1385</v>
      </c>
    </row>
    <row r="55" spans="1:34">
      <c r="A55" t="s">
        <v>338</v>
      </c>
      <c r="B55" t="s">
        <v>175</v>
      </c>
      <c r="P55" s="17">
        <v>25</v>
      </c>
      <c r="Q55" s="17">
        <v>44</v>
      </c>
      <c r="R55" s="18">
        <v>1521</v>
      </c>
      <c r="T55" s="17">
        <v>25</v>
      </c>
      <c r="U55" s="17">
        <v>54</v>
      </c>
      <c r="V55" s="18">
        <v>2290</v>
      </c>
      <c r="X55" s="17">
        <v>25</v>
      </c>
      <c r="Y55" s="17">
        <v>74</v>
      </c>
      <c r="Z55" s="18">
        <v>4301</v>
      </c>
    </row>
    <row r="56" spans="1:34">
      <c r="A56" t="s">
        <v>338</v>
      </c>
      <c r="B56" t="s">
        <v>176</v>
      </c>
    </row>
    <row r="57" spans="1:34">
      <c r="A57" t="s">
        <v>338</v>
      </c>
      <c r="B57" t="s">
        <v>177</v>
      </c>
      <c r="D57" s="22" t="s">
        <v>167</v>
      </c>
      <c r="H57" s="22" t="s">
        <v>168</v>
      </c>
      <c r="L57" s="22" t="s">
        <v>169</v>
      </c>
      <c r="P57" s="22" t="s">
        <v>170</v>
      </c>
      <c r="T57" s="22" t="s">
        <v>178</v>
      </c>
      <c r="X57" s="22" t="s">
        <v>172</v>
      </c>
      <c r="AB57" s="22" t="s">
        <v>173</v>
      </c>
    </row>
    <row r="58" spans="1:34">
      <c r="A58" t="s">
        <v>338</v>
      </c>
      <c r="B58" t="s">
        <v>179</v>
      </c>
      <c r="D58" s="16" t="s">
        <v>111</v>
      </c>
      <c r="E58" s="16" t="s">
        <v>109</v>
      </c>
      <c r="F58" s="16" t="s">
        <v>110</v>
      </c>
      <c r="H58" s="16" t="s">
        <v>111</v>
      </c>
      <c r="I58" s="16" t="s">
        <v>109</v>
      </c>
      <c r="J58" s="16" t="s">
        <v>110</v>
      </c>
      <c r="L58" s="16" t="s">
        <v>111</v>
      </c>
      <c r="M58" s="16" t="s">
        <v>109</v>
      </c>
      <c r="N58" s="16" t="s">
        <v>110</v>
      </c>
      <c r="P58" s="16" t="s">
        <v>111</v>
      </c>
      <c r="Q58" s="16" t="s">
        <v>109</v>
      </c>
      <c r="R58" s="16" t="s">
        <v>110</v>
      </c>
      <c r="T58" s="16" t="s">
        <v>111</v>
      </c>
      <c r="U58" s="16" t="s">
        <v>109</v>
      </c>
      <c r="V58" s="16" t="s">
        <v>110</v>
      </c>
      <c r="X58" s="16" t="s">
        <v>111</v>
      </c>
      <c r="Y58" s="16" t="s">
        <v>109</v>
      </c>
      <c r="Z58" s="16" t="s">
        <v>110</v>
      </c>
      <c r="AB58" s="16" t="s">
        <v>111</v>
      </c>
      <c r="AC58" s="16" t="s">
        <v>109</v>
      </c>
      <c r="AD58" s="16" t="s">
        <v>110</v>
      </c>
    </row>
    <row r="59" spans="1:34">
      <c r="A59" t="s">
        <v>338</v>
      </c>
      <c r="B59" t="s">
        <v>180</v>
      </c>
      <c r="D59" s="17">
        <v>13</v>
      </c>
      <c r="E59" s="17">
        <v>23.5</v>
      </c>
      <c r="F59" s="18">
        <v>434</v>
      </c>
      <c r="H59" s="17">
        <v>7</v>
      </c>
      <c r="I59" s="17">
        <v>20</v>
      </c>
      <c r="J59" s="18">
        <v>314</v>
      </c>
      <c r="L59" s="17">
        <v>7</v>
      </c>
      <c r="M59" s="17">
        <v>30</v>
      </c>
      <c r="N59" s="18">
        <v>707</v>
      </c>
      <c r="P59" s="17">
        <v>10</v>
      </c>
      <c r="Q59" s="17">
        <v>24.1</v>
      </c>
      <c r="R59" s="18">
        <v>456</v>
      </c>
      <c r="T59" s="17">
        <v>10</v>
      </c>
      <c r="U59" s="17">
        <v>44.1</v>
      </c>
      <c r="V59" s="18">
        <v>1527</v>
      </c>
      <c r="X59" s="17">
        <v>10</v>
      </c>
      <c r="Y59" s="17">
        <v>64.099999999999994</v>
      </c>
      <c r="Z59" s="18">
        <v>3227</v>
      </c>
      <c r="AB59" s="17">
        <v>10</v>
      </c>
      <c r="AC59" s="17">
        <v>14.6</v>
      </c>
      <c r="AD59" s="18">
        <v>167</v>
      </c>
    </row>
    <row r="60" spans="1:34">
      <c r="A60" t="s">
        <v>338</v>
      </c>
      <c r="B60" t="s">
        <v>181</v>
      </c>
      <c r="D60" s="17">
        <v>16</v>
      </c>
      <c r="E60" s="17">
        <v>31</v>
      </c>
      <c r="F60" s="18">
        <v>755</v>
      </c>
      <c r="H60" s="17">
        <v>10</v>
      </c>
      <c r="I60" s="17">
        <v>23</v>
      </c>
      <c r="J60" s="18">
        <v>415</v>
      </c>
      <c r="L60" s="17">
        <v>10</v>
      </c>
      <c r="M60" s="17">
        <v>33</v>
      </c>
      <c r="N60" s="18">
        <v>855</v>
      </c>
      <c r="P60" s="17">
        <v>13</v>
      </c>
      <c r="Q60" s="17">
        <v>26.1</v>
      </c>
      <c r="R60" s="18">
        <v>535</v>
      </c>
      <c r="T60" s="17">
        <v>13</v>
      </c>
      <c r="U60" s="17">
        <v>46.1</v>
      </c>
      <c r="V60" s="18">
        <v>1669</v>
      </c>
      <c r="X60" s="17">
        <v>13</v>
      </c>
      <c r="Y60" s="17">
        <v>66.099999999999994</v>
      </c>
      <c r="Z60" s="18">
        <v>3432</v>
      </c>
    </row>
    <row r="61" spans="1:34">
      <c r="A61" t="s">
        <v>338</v>
      </c>
      <c r="B61" t="s">
        <v>182</v>
      </c>
      <c r="D61" s="17">
        <v>20</v>
      </c>
      <c r="E61" s="17">
        <v>42</v>
      </c>
      <c r="F61" s="18">
        <v>1385</v>
      </c>
      <c r="H61" s="17">
        <v>13</v>
      </c>
      <c r="I61" s="17">
        <v>27</v>
      </c>
      <c r="J61" s="18">
        <v>573</v>
      </c>
      <c r="L61" s="17">
        <v>13</v>
      </c>
      <c r="M61" s="17">
        <v>37</v>
      </c>
      <c r="N61" s="18">
        <v>1075</v>
      </c>
      <c r="P61" s="17">
        <v>16</v>
      </c>
      <c r="Q61" s="17">
        <v>30.1</v>
      </c>
      <c r="R61" s="18">
        <v>712</v>
      </c>
      <c r="T61" s="17">
        <v>16</v>
      </c>
      <c r="U61" s="17">
        <v>50.1</v>
      </c>
      <c r="V61" s="18">
        <v>1971</v>
      </c>
      <c r="X61" s="17">
        <v>16</v>
      </c>
      <c r="Y61" s="17">
        <v>70.099999999999994</v>
      </c>
      <c r="Z61" s="18">
        <v>3859</v>
      </c>
      <c r="AB61" s="22" t="s">
        <v>174</v>
      </c>
    </row>
    <row r="62" spans="1:34">
      <c r="A62" t="s">
        <v>338</v>
      </c>
      <c r="B62" t="s">
        <v>183</v>
      </c>
      <c r="D62" s="17">
        <v>25</v>
      </c>
      <c r="E62" s="17">
        <v>42</v>
      </c>
      <c r="F62" s="18">
        <v>1385</v>
      </c>
      <c r="P62" s="17">
        <v>20</v>
      </c>
      <c r="Q62" s="17">
        <v>35.1</v>
      </c>
      <c r="R62" s="18">
        <v>968</v>
      </c>
      <c r="T62" s="17">
        <v>20</v>
      </c>
      <c r="U62" s="17">
        <v>55.1</v>
      </c>
      <c r="V62" s="18">
        <v>2384</v>
      </c>
      <c r="X62" s="17">
        <v>20</v>
      </c>
      <c r="Y62" s="17">
        <v>75.099999999999994</v>
      </c>
      <c r="Z62" s="18">
        <v>4430</v>
      </c>
      <c r="AB62" s="16" t="s">
        <v>111</v>
      </c>
      <c r="AC62" s="16" t="s">
        <v>109</v>
      </c>
      <c r="AD62" s="16" t="s">
        <v>110</v>
      </c>
    </row>
    <row r="63" spans="1:34">
      <c r="A63" t="s">
        <v>338</v>
      </c>
      <c r="B63" t="s">
        <v>184</v>
      </c>
      <c r="P63" s="17">
        <v>25</v>
      </c>
      <c r="Q63" s="17">
        <v>42.1</v>
      </c>
      <c r="R63" s="18">
        <v>1392</v>
      </c>
      <c r="T63" s="17">
        <v>25</v>
      </c>
      <c r="U63" s="17">
        <v>62.1</v>
      </c>
      <c r="V63" s="18">
        <v>3029</v>
      </c>
      <c r="X63" s="17">
        <v>25</v>
      </c>
      <c r="Y63" s="17">
        <v>82.1</v>
      </c>
      <c r="Z63" s="18">
        <v>5294</v>
      </c>
      <c r="AB63" s="17">
        <v>10</v>
      </c>
      <c r="AC63" s="17">
        <v>34.6</v>
      </c>
      <c r="AD63" s="18">
        <v>940</v>
      </c>
    </row>
    <row r="64" spans="1:34">
      <c r="A64" t="s">
        <v>338</v>
      </c>
      <c r="B64" t="s">
        <v>185</v>
      </c>
    </row>
    <row r="65" spans="1:30">
      <c r="A65" t="s">
        <v>338</v>
      </c>
      <c r="B65" t="s">
        <v>186</v>
      </c>
      <c r="D65" s="22" t="s">
        <v>187</v>
      </c>
      <c r="H65" s="22" t="s">
        <v>176</v>
      </c>
      <c r="L65" s="22" t="s">
        <v>177</v>
      </c>
    </row>
    <row r="66" spans="1:30">
      <c r="A66" t="s">
        <v>338</v>
      </c>
      <c r="B66" t="s">
        <v>188</v>
      </c>
      <c r="D66" s="16" t="s">
        <v>111</v>
      </c>
      <c r="E66" s="16" t="s">
        <v>109</v>
      </c>
      <c r="F66" s="16" t="s">
        <v>110</v>
      </c>
      <c r="H66" s="16" t="s">
        <v>111</v>
      </c>
      <c r="I66" s="16" t="s">
        <v>109</v>
      </c>
      <c r="J66" s="16" t="s">
        <v>110</v>
      </c>
      <c r="L66" s="16" t="s">
        <v>111</v>
      </c>
      <c r="M66" s="16" t="s">
        <v>109</v>
      </c>
      <c r="N66" s="16" t="s">
        <v>110</v>
      </c>
      <c r="P66" s="22" t="s">
        <v>189</v>
      </c>
      <c r="T66" s="22" t="s">
        <v>180</v>
      </c>
      <c r="X66" s="22" t="s">
        <v>181</v>
      </c>
    </row>
    <row r="67" spans="1:30">
      <c r="A67" t="s">
        <v>338</v>
      </c>
      <c r="B67" t="s">
        <v>190</v>
      </c>
      <c r="D67" s="17">
        <v>13</v>
      </c>
      <c r="E67" s="17">
        <v>18</v>
      </c>
      <c r="F67" s="18">
        <v>254</v>
      </c>
      <c r="H67" s="17">
        <v>13</v>
      </c>
      <c r="I67" s="17">
        <v>38</v>
      </c>
      <c r="J67" s="18">
        <v>1134</v>
      </c>
      <c r="L67" s="17">
        <v>13</v>
      </c>
      <c r="M67" s="17">
        <v>58</v>
      </c>
      <c r="N67" s="18">
        <v>2642</v>
      </c>
      <c r="P67" s="16" t="s">
        <v>111</v>
      </c>
      <c r="Q67" s="16" t="s">
        <v>109</v>
      </c>
      <c r="R67" s="16" t="s">
        <v>110</v>
      </c>
      <c r="T67" s="16" t="s">
        <v>111</v>
      </c>
      <c r="U67" s="16" t="s">
        <v>109</v>
      </c>
      <c r="V67" s="16" t="s">
        <v>110</v>
      </c>
      <c r="X67" s="16" t="s">
        <v>111</v>
      </c>
      <c r="Y67" s="16" t="s">
        <v>109</v>
      </c>
      <c r="Z67" s="16" t="s">
        <v>110</v>
      </c>
    </row>
    <row r="68" spans="1:30">
      <c r="B68" t="s">
        <v>191</v>
      </c>
      <c r="D68" s="17">
        <v>16</v>
      </c>
      <c r="E68" s="17">
        <v>22</v>
      </c>
      <c r="F68" s="18">
        <v>380</v>
      </c>
      <c r="H68" s="17">
        <v>16</v>
      </c>
      <c r="I68" s="17">
        <v>42</v>
      </c>
      <c r="J68" s="18">
        <v>1385</v>
      </c>
      <c r="L68" s="17">
        <v>16</v>
      </c>
      <c r="M68" s="17">
        <v>62</v>
      </c>
      <c r="N68" s="18">
        <v>3019</v>
      </c>
      <c r="P68" s="17">
        <v>13</v>
      </c>
      <c r="Q68" s="17">
        <v>18</v>
      </c>
      <c r="R68" s="18">
        <v>254</v>
      </c>
      <c r="T68" s="17">
        <v>13</v>
      </c>
      <c r="U68" s="17">
        <v>38</v>
      </c>
      <c r="V68" s="18">
        <v>1134</v>
      </c>
      <c r="X68" s="17">
        <v>13</v>
      </c>
      <c r="Y68" s="17">
        <v>58</v>
      </c>
      <c r="Z68" s="18">
        <v>2642</v>
      </c>
    </row>
    <row r="69" spans="1:30">
      <c r="B69" t="s">
        <v>192</v>
      </c>
      <c r="D69" s="17">
        <v>20</v>
      </c>
      <c r="E69" s="17">
        <v>26</v>
      </c>
      <c r="F69" s="18">
        <v>531</v>
      </c>
      <c r="H69" s="17">
        <v>20</v>
      </c>
      <c r="I69" s="17">
        <v>46</v>
      </c>
      <c r="J69" s="18">
        <v>1662</v>
      </c>
      <c r="L69" s="17">
        <v>20</v>
      </c>
      <c r="M69" s="17">
        <v>66</v>
      </c>
      <c r="N69" s="18">
        <v>3421</v>
      </c>
      <c r="P69" s="17">
        <v>16</v>
      </c>
      <c r="Q69" s="17">
        <v>22</v>
      </c>
      <c r="R69" s="18">
        <v>380</v>
      </c>
      <c r="T69" s="17">
        <v>16</v>
      </c>
      <c r="U69" s="17">
        <v>42</v>
      </c>
      <c r="V69" s="18">
        <v>1385</v>
      </c>
      <c r="X69" s="17">
        <v>16</v>
      </c>
      <c r="Y69" s="17">
        <v>62</v>
      </c>
      <c r="Z69" s="18">
        <v>3019</v>
      </c>
    </row>
    <row r="70" spans="1:30">
      <c r="B70" t="s">
        <v>193</v>
      </c>
      <c r="D70" s="17">
        <v>25</v>
      </c>
      <c r="E70" s="17">
        <v>32</v>
      </c>
      <c r="F70" s="18">
        <v>804</v>
      </c>
      <c r="H70" s="17">
        <v>25</v>
      </c>
      <c r="I70" s="17">
        <v>52</v>
      </c>
      <c r="J70" s="18">
        <v>2124</v>
      </c>
      <c r="L70" s="17">
        <v>25</v>
      </c>
      <c r="M70" s="17">
        <v>72</v>
      </c>
      <c r="N70" s="18">
        <v>4072</v>
      </c>
      <c r="P70" s="17">
        <v>20</v>
      </c>
      <c r="Q70" s="17">
        <v>26</v>
      </c>
      <c r="R70" s="18">
        <v>531</v>
      </c>
      <c r="T70" s="17">
        <v>20</v>
      </c>
      <c r="U70" s="17">
        <v>46</v>
      </c>
      <c r="V70" s="18">
        <v>1662</v>
      </c>
      <c r="X70" s="17">
        <v>20</v>
      </c>
      <c r="Y70" s="17">
        <v>66</v>
      </c>
      <c r="Z70" s="18">
        <v>3421</v>
      </c>
    </row>
    <row r="71" spans="1:30">
      <c r="B71" t="s">
        <v>194</v>
      </c>
      <c r="D71" s="17">
        <v>30</v>
      </c>
      <c r="E71" s="17">
        <v>38</v>
      </c>
      <c r="F71" s="18">
        <v>1134</v>
      </c>
      <c r="H71" s="17">
        <v>30</v>
      </c>
      <c r="I71" s="17">
        <v>58</v>
      </c>
      <c r="J71" s="18">
        <v>2642</v>
      </c>
      <c r="L71" s="17">
        <v>30</v>
      </c>
      <c r="M71" s="17">
        <v>78</v>
      </c>
      <c r="N71" s="18">
        <v>4778</v>
      </c>
      <c r="P71" s="17">
        <v>25</v>
      </c>
      <c r="Q71" s="17">
        <v>32</v>
      </c>
      <c r="R71" s="18">
        <v>804</v>
      </c>
      <c r="T71" s="17">
        <v>25</v>
      </c>
      <c r="U71" s="17">
        <v>52</v>
      </c>
      <c r="V71" s="18">
        <v>2124</v>
      </c>
      <c r="X71" s="17">
        <v>25</v>
      </c>
      <c r="Y71" s="17">
        <v>72</v>
      </c>
      <c r="Z71" s="18">
        <v>4072</v>
      </c>
    </row>
    <row r="72" spans="1:30">
      <c r="B72" t="s">
        <v>195</v>
      </c>
      <c r="D72" s="17">
        <v>40</v>
      </c>
      <c r="E72" s="17">
        <v>48</v>
      </c>
      <c r="F72" s="18">
        <v>1810</v>
      </c>
      <c r="H72" s="17">
        <v>40</v>
      </c>
      <c r="I72" s="17">
        <v>68</v>
      </c>
      <c r="J72" s="18">
        <v>3632</v>
      </c>
      <c r="L72" s="17">
        <v>40</v>
      </c>
      <c r="M72" s="17">
        <v>88</v>
      </c>
      <c r="N72" s="18">
        <v>6082</v>
      </c>
      <c r="P72" s="17">
        <v>30</v>
      </c>
      <c r="Q72" s="17">
        <v>38</v>
      </c>
      <c r="R72" s="18">
        <v>1134</v>
      </c>
      <c r="T72" s="17">
        <v>30</v>
      </c>
      <c r="U72" s="17">
        <v>58</v>
      </c>
      <c r="V72" s="18">
        <v>2642</v>
      </c>
      <c r="X72" s="17">
        <v>30</v>
      </c>
      <c r="Y72" s="17">
        <v>78</v>
      </c>
      <c r="Z72" s="18">
        <v>4778</v>
      </c>
    </row>
    <row r="73" spans="1:30">
      <c r="B73" t="s">
        <v>196</v>
      </c>
      <c r="D73" s="17">
        <v>50</v>
      </c>
      <c r="E73" s="17">
        <v>60</v>
      </c>
      <c r="F73" s="18">
        <v>2827</v>
      </c>
      <c r="H73" s="17">
        <v>50</v>
      </c>
      <c r="I73" s="17">
        <v>80</v>
      </c>
      <c r="J73" s="18">
        <v>5027</v>
      </c>
      <c r="L73" s="17">
        <v>50</v>
      </c>
      <c r="M73" s="17">
        <v>100</v>
      </c>
      <c r="N73" s="18">
        <v>7854</v>
      </c>
      <c r="P73" s="17">
        <v>40</v>
      </c>
      <c r="Q73" s="17">
        <v>48</v>
      </c>
      <c r="R73" s="18">
        <v>1810</v>
      </c>
      <c r="T73" s="17">
        <v>40</v>
      </c>
      <c r="U73" s="17">
        <v>68</v>
      </c>
      <c r="V73" s="18">
        <v>3632</v>
      </c>
      <c r="X73" s="17">
        <v>40</v>
      </c>
      <c r="Y73" s="17">
        <v>88</v>
      </c>
      <c r="Z73" s="18">
        <v>6082</v>
      </c>
    </row>
    <row r="74" spans="1:30">
      <c r="B74" s="25" t="s">
        <v>197</v>
      </c>
      <c r="D74" s="17">
        <v>65</v>
      </c>
      <c r="E74" s="17">
        <v>76</v>
      </c>
      <c r="F74" s="18">
        <v>4536</v>
      </c>
      <c r="H74" s="17">
        <v>65</v>
      </c>
      <c r="I74" s="17">
        <v>96</v>
      </c>
      <c r="J74" s="18">
        <v>7238</v>
      </c>
      <c r="L74" s="17">
        <v>65</v>
      </c>
      <c r="M74" s="17">
        <v>116</v>
      </c>
      <c r="N74" s="18">
        <v>10568</v>
      </c>
    </row>
    <row r="75" spans="1:30">
      <c r="B75" s="25" t="s">
        <v>198</v>
      </c>
      <c r="D75" s="17">
        <v>75</v>
      </c>
      <c r="E75" s="17">
        <v>89</v>
      </c>
      <c r="F75" s="18">
        <v>6221</v>
      </c>
      <c r="H75" s="17">
        <v>75</v>
      </c>
      <c r="I75" s="17">
        <v>109</v>
      </c>
      <c r="J75" s="18">
        <v>9331</v>
      </c>
      <c r="L75" s="17">
        <v>75</v>
      </c>
      <c r="M75" s="17">
        <v>129</v>
      </c>
      <c r="N75" s="18">
        <v>13070</v>
      </c>
    </row>
    <row r="76" spans="1:30">
      <c r="B76" s="25" t="s">
        <v>199</v>
      </c>
      <c r="D76" s="17">
        <v>100</v>
      </c>
      <c r="E76" s="17">
        <v>114</v>
      </c>
      <c r="F76" s="18">
        <v>10207</v>
      </c>
      <c r="H76" s="17">
        <v>100</v>
      </c>
      <c r="I76" s="17">
        <v>134</v>
      </c>
      <c r="J76" s="18">
        <v>14103</v>
      </c>
      <c r="L76" s="17">
        <v>100</v>
      </c>
      <c r="M76" s="17">
        <v>154</v>
      </c>
      <c r="N76" s="18">
        <v>18627</v>
      </c>
    </row>
    <row r="77" spans="1:30">
      <c r="B77" s="25" t="s">
        <v>200</v>
      </c>
    </row>
    <row r="78" spans="1:30">
      <c r="D78" s="22" t="s">
        <v>201</v>
      </c>
      <c r="H78" s="22" t="s">
        <v>183</v>
      </c>
      <c r="L78" s="22" t="s">
        <v>184</v>
      </c>
    </row>
    <row r="79" spans="1:30">
      <c r="D79" s="16" t="s">
        <v>111</v>
      </c>
      <c r="E79" s="16" t="s">
        <v>109</v>
      </c>
      <c r="F79" s="16" t="s">
        <v>110</v>
      </c>
      <c r="H79" s="16" t="s">
        <v>111</v>
      </c>
      <c r="I79" s="16" t="s">
        <v>109</v>
      </c>
      <c r="J79" s="16" t="s">
        <v>110</v>
      </c>
      <c r="L79" s="16" t="s">
        <v>111</v>
      </c>
      <c r="M79" s="16" t="s">
        <v>109</v>
      </c>
      <c r="N79" s="16" t="s">
        <v>110</v>
      </c>
      <c r="P79" s="22" t="s">
        <v>202</v>
      </c>
      <c r="T79" s="22" t="s">
        <v>186</v>
      </c>
      <c r="X79" s="22" t="s">
        <v>188</v>
      </c>
      <c r="AB79" s="22" t="s">
        <v>190</v>
      </c>
    </row>
    <row r="80" spans="1:30">
      <c r="D80" s="17">
        <v>40</v>
      </c>
      <c r="E80" s="17">
        <v>48</v>
      </c>
      <c r="F80" s="18">
        <v>1810</v>
      </c>
      <c r="H80" s="17">
        <v>40</v>
      </c>
      <c r="I80" s="17">
        <v>68</v>
      </c>
      <c r="J80" s="18">
        <v>3632</v>
      </c>
      <c r="L80" s="17">
        <v>40</v>
      </c>
      <c r="M80" s="17">
        <v>88</v>
      </c>
      <c r="N80" s="18">
        <v>6082</v>
      </c>
      <c r="P80" s="16" t="s">
        <v>111</v>
      </c>
      <c r="Q80" s="16" t="s">
        <v>109</v>
      </c>
      <c r="R80" s="16" t="s">
        <v>110</v>
      </c>
      <c r="T80" s="16" t="s">
        <v>111</v>
      </c>
      <c r="U80" s="16" t="s">
        <v>109</v>
      </c>
      <c r="V80" s="16" t="s">
        <v>110</v>
      </c>
      <c r="X80" s="16" t="s">
        <v>111</v>
      </c>
      <c r="Y80" s="16" t="s">
        <v>109</v>
      </c>
      <c r="Z80" s="16" t="s">
        <v>110</v>
      </c>
      <c r="AB80" s="16" t="s">
        <v>111</v>
      </c>
      <c r="AC80" s="16" t="s">
        <v>109</v>
      </c>
      <c r="AD80" s="16" t="s">
        <v>110</v>
      </c>
    </row>
    <row r="81" spans="4:30">
      <c r="D81" s="17">
        <v>50</v>
      </c>
      <c r="E81" s="17">
        <v>60</v>
      </c>
      <c r="F81" s="18">
        <v>2827</v>
      </c>
      <c r="H81" s="17">
        <v>50</v>
      </c>
      <c r="I81" s="17">
        <v>80</v>
      </c>
      <c r="J81" s="18">
        <v>5027</v>
      </c>
      <c r="L81" s="17">
        <v>50</v>
      </c>
      <c r="M81" s="17">
        <v>100</v>
      </c>
      <c r="N81" s="18">
        <v>7854</v>
      </c>
      <c r="P81" s="17">
        <v>50</v>
      </c>
      <c r="Q81" s="17">
        <v>54</v>
      </c>
      <c r="R81" s="18">
        <v>2290</v>
      </c>
      <c r="T81" s="17">
        <v>50</v>
      </c>
      <c r="U81" s="17">
        <v>74</v>
      </c>
      <c r="V81" s="18">
        <v>4301</v>
      </c>
      <c r="X81" s="17">
        <v>50</v>
      </c>
      <c r="Y81" s="17">
        <v>94</v>
      </c>
      <c r="Z81" s="18">
        <v>6940</v>
      </c>
      <c r="AB81" s="17">
        <v>40</v>
      </c>
      <c r="AC81" s="17">
        <v>48</v>
      </c>
      <c r="AD81" s="18">
        <v>1810</v>
      </c>
    </row>
    <row r="82" spans="4:30">
      <c r="D82" s="17">
        <v>65</v>
      </c>
      <c r="E82" s="17">
        <v>76</v>
      </c>
      <c r="F82" s="18">
        <v>4536</v>
      </c>
      <c r="H82" s="17">
        <v>65</v>
      </c>
      <c r="I82" s="17">
        <v>96</v>
      </c>
      <c r="J82" s="18">
        <v>7238</v>
      </c>
      <c r="L82" s="17">
        <v>65</v>
      </c>
      <c r="M82" s="17">
        <v>116</v>
      </c>
      <c r="N82" s="18">
        <v>10568</v>
      </c>
      <c r="P82" s="17">
        <v>65</v>
      </c>
      <c r="Q82" s="17">
        <v>68</v>
      </c>
      <c r="R82" s="18">
        <v>3632</v>
      </c>
      <c r="T82" s="17">
        <v>65</v>
      </c>
      <c r="U82" s="17">
        <v>88</v>
      </c>
      <c r="V82" s="18">
        <v>6082</v>
      </c>
      <c r="X82" s="17">
        <v>65</v>
      </c>
      <c r="Y82" s="17">
        <v>108</v>
      </c>
      <c r="Z82" s="18">
        <v>9161</v>
      </c>
      <c r="AB82" s="17">
        <v>50</v>
      </c>
      <c r="AC82" s="17">
        <v>60</v>
      </c>
      <c r="AD82" s="18">
        <v>2827</v>
      </c>
    </row>
    <row r="83" spans="4:30">
      <c r="D83" s="17">
        <v>75</v>
      </c>
      <c r="E83" s="17">
        <v>89</v>
      </c>
      <c r="F83" s="18">
        <v>6221</v>
      </c>
      <c r="H83" s="17">
        <v>75</v>
      </c>
      <c r="I83" s="17">
        <v>109</v>
      </c>
      <c r="J83" s="18">
        <v>9331</v>
      </c>
      <c r="L83" s="17">
        <v>75</v>
      </c>
      <c r="M83" s="17">
        <v>129</v>
      </c>
      <c r="N83" s="18">
        <v>13070</v>
      </c>
      <c r="P83" s="17">
        <v>75</v>
      </c>
      <c r="Q83" s="17">
        <v>80</v>
      </c>
      <c r="R83" s="18">
        <v>5027</v>
      </c>
      <c r="T83" s="17">
        <v>75</v>
      </c>
      <c r="U83" s="17">
        <v>100</v>
      </c>
      <c r="V83" s="18">
        <v>7854</v>
      </c>
      <c r="X83" s="17">
        <v>75</v>
      </c>
      <c r="Y83" s="17">
        <v>120</v>
      </c>
      <c r="Z83" s="18">
        <v>11310</v>
      </c>
      <c r="AB83" s="17">
        <v>65</v>
      </c>
      <c r="AC83" s="17">
        <v>76</v>
      </c>
      <c r="AD83" s="18">
        <v>4536</v>
      </c>
    </row>
    <row r="84" spans="4:30">
      <c r="D84" s="17">
        <v>100</v>
      </c>
      <c r="E84" s="17">
        <v>114</v>
      </c>
      <c r="F84" s="18">
        <v>10207</v>
      </c>
      <c r="H84" s="17">
        <v>100</v>
      </c>
      <c r="I84" s="17">
        <v>134</v>
      </c>
      <c r="J84" s="18">
        <v>14103</v>
      </c>
      <c r="L84" s="17">
        <v>100</v>
      </c>
      <c r="M84" s="17">
        <v>154</v>
      </c>
      <c r="N84" s="18">
        <v>18627</v>
      </c>
      <c r="P84" s="17">
        <v>100</v>
      </c>
      <c r="Q84" s="17">
        <v>106</v>
      </c>
      <c r="R84" s="18">
        <v>8825</v>
      </c>
      <c r="T84" s="17">
        <v>100</v>
      </c>
      <c r="U84" s="17">
        <v>126</v>
      </c>
      <c r="V84" s="18">
        <v>12469</v>
      </c>
      <c r="X84" s="17">
        <v>100</v>
      </c>
      <c r="Y84" s="17">
        <v>146</v>
      </c>
      <c r="Z84" s="18">
        <v>16742</v>
      </c>
      <c r="AB84" s="17">
        <v>75</v>
      </c>
      <c r="AC84" s="17">
        <v>89</v>
      </c>
      <c r="AD84" s="18">
        <v>6221</v>
      </c>
    </row>
    <row r="86" spans="4:30">
      <c r="D86" s="22" t="s">
        <v>194</v>
      </c>
      <c r="H86" s="22" t="s">
        <v>195</v>
      </c>
      <c r="L86" s="22" t="s">
        <v>196</v>
      </c>
      <c r="P86" s="22" t="s">
        <v>203</v>
      </c>
      <c r="T86" s="22" t="s">
        <v>192</v>
      </c>
      <c r="X86" s="22" t="s">
        <v>193</v>
      </c>
    </row>
    <row r="87" spans="4:30">
      <c r="D87" s="16" t="s">
        <v>111</v>
      </c>
      <c r="E87" s="19" t="s">
        <v>109</v>
      </c>
      <c r="F87" s="19" t="s">
        <v>110</v>
      </c>
      <c r="H87" s="16" t="s">
        <v>111</v>
      </c>
      <c r="I87" s="19" t="s">
        <v>109</v>
      </c>
      <c r="J87" s="19" t="s">
        <v>110</v>
      </c>
      <c r="L87" s="16" t="s">
        <v>111</v>
      </c>
      <c r="M87" s="19" t="s">
        <v>109</v>
      </c>
      <c r="N87" s="19" t="s">
        <v>110</v>
      </c>
      <c r="P87" s="16" t="s">
        <v>111</v>
      </c>
      <c r="Q87" s="16" t="s">
        <v>109</v>
      </c>
      <c r="R87" s="16" t="s">
        <v>110</v>
      </c>
      <c r="T87" s="16" t="s">
        <v>111</v>
      </c>
      <c r="U87" s="16" t="s">
        <v>109</v>
      </c>
      <c r="V87" s="16" t="s">
        <v>110</v>
      </c>
      <c r="X87" s="16" t="s">
        <v>111</v>
      </c>
      <c r="Y87" s="16" t="s">
        <v>109</v>
      </c>
      <c r="Z87" s="16" t="s">
        <v>110</v>
      </c>
    </row>
    <row r="88" spans="4:30">
      <c r="D88" s="17">
        <v>8</v>
      </c>
      <c r="E88" s="17">
        <v>9.52</v>
      </c>
      <c r="F88" s="18">
        <f>ROUND(PI()*(E88/2)^2,0)</f>
        <v>71</v>
      </c>
      <c r="H88" s="17">
        <v>8</v>
      </c>
      <c r="I88" s="17">
        <v>29.52</v>
      </c>
      <c r="J88" s="18">
        <v>684</v>
      </c>
      <c r="L88" s="17">
        <v>8</v>
      </c>
      <c r="M88" s="17">
        <v>49.519999999999996</v>
      </c>
      <c r="N88" s="18">
        <v>1926</v>
      </c>
      <c r="P88" s="17">
        <v>6</v>
      </c>
      <c r="Q88" s="17">
        <v>10.5</v>
      </c>
      <c r="R88" s="18">
        <v>87</v>
      </c>
      <c r="T88" s="17">
        <v>6</v>
      </c>
      <c r="U88" s="17">
        <v>30.5</v>
      </c>
      <c r="V88" s="18">
        <v>731</v>
      </c>
      <c r="X88" s="17">
        <v>6</v>
      </c>
      <c r="Y88" s="17">
        <v>50.5</v>
      </c>
      <c r="Z88" s="18">
        <v>2003</v>
      </c>
    </row>
    <row r="89" spans="4:30">
      <c r="D89" s="17">
        <v>10</v>
      </c>
      <c r="E89" s="17">
        <v>12.7</v>
      </c>
      <c r="F89" s="18">
        <f t="shared" ref="F89:F99" si="0">ROUND(PI()*(E89/2)^2,0)</f>
        <v>127</v>
      </c>
      <c r="H89" s="17">
        <v>10</v>
      </c>
      <c r="I89" s="17">
        <v>32.700000000000003</v>
      </c>
      <c r="J89" s="18">
        <v>840</v>
      </c>
      <c r="L89" s="17">
        <v>10</v>
      </c>
      <c r="M89" s="17">
        <v>52.7</v>
      </c>
      <c r="N89" s="18">
        <v>2181</v>
      </c>
      <c r="P89" s="17">
        <v>8</v>
      </c>
      <c r="Q89" s="17">
        <v>13.8</v>
      </c>
      <c r="R89" s="18">
        <v>150</v>
      </c>
      <c r="T89" s="17">
        <v>8</v>
      </c>
      <c r="U89" s="17">
        <v>33.799999999999997</v>
      </c>
      <c r="V89" s="18">
        <v>897</v>
      </c>
      <c r="X89" s="17">
        <v>8</v>
      </c>
      <c r="Y89" s="17">
        <v>53.8</v>
      </c>
      <c r="Z89" s="18">
        <v>2273</v>
      </c>
    </row>
    <row r="90" spans="4:30">
      <c r="D90" s="17">
        <v>13</v>
      </c>
      <c r="E90" s="17">
        <v>15.88</v>
      </c>
      <c r="F90" s="18">
        <f t="shared" si="0"/>
        <v>198</v>
      </c>
      <c r="H90" s="17">
        <v>13</v>
      </c>
      <c r="I90" s="17">
        <v>35.880000000000003</v>
      </c>
      <c r="J90" s="18">
        <v>1011</v>
      </c>
      <c r="L90" s="17">
        <v>13</v>
      </c>
      <c r="M90" s="17">
        <v>55.88</v>
      </c>
      <c r="N90" s="18">
        <v>2452</v>
      </c>
      <c r="P90" s="17">
        <v>10</v>
      </c>
      <c r="Q90" s="17">
        <v>17.3</v>
      </c>
      <c r="R90" s="18">
        <v>235</v>
      </c>
      <c r="T90" s="17">
        <v>10</v>
      </c>
      <c r="U90" s="17">
        <v>37.299999999999997</v>
      </c>
      <c r="V90" s="18">
        <v>1093</v>
      </c>
      <c r="X90" s="17">
        <v>10</v>
      </c>
      <c r="Y90" s="17">
        <v>57.3</v>
      </c>
      <c r="Z90" s="18">
        <v>2579</v>
      </c>
    </row>
    <row r="91" spans="4:30">
      <c r="D91" s="17">
        <v>20</v>
      </c>
      <c r="E91" s="17">
        <v>22.22</v>
      </c>
      <c r="F91" s="18">
        <f t="shared" si="0"/>
        <v>388</v>
      </c>
      <c r="H91" s="17">
        <v>20</v>
      </c>
      <c r="I91" s="17">
        <v>42.22</v>
      </c>
      <c r="J91" s="18">
        <v>1400</v>
      </c>
      <c r="L91" s="17">
        <v>20</v>
      </c>
      <c r="M91" s="17">
        <v>62.22</v>
      </c>
      <c r="N91" s="18">
        <v>3041</v>
      </c>
      <c r="P91" s="17">
        <v>15</v>
      </c>
      <c r="Q91" s="17">
        <v>21.7</v>
      </c>
      <c r="R91" s="18">
        <v>370</v>
      </c>
      <c r="T91" s="17">
        <v>15</v>
      </c>
      <c r="U91" s="17">
        <v>41.7</v>
      </c>
      <c r="V91" s="18">
        <v>1366</v>
      </c>
      <c r="X91" s="17">
        <v>15</v>
      </c>
      <c r="Y91" s="17">
        <v>61.7</v>
      </c>
      <c r="Z91" s="18">
        <v>2990</v>
      </c>
    </row>
    <row r="92" spans="4:30">
      <c r="D92" s="17">
        <v>25</v>
      </c>
      <c r="E92" s="17">
        <v>28.58</v>
      </c>
      <c r="F92" s="18">
        <f t="shared" si="0"/>
        <v>642</v>
      </c>
      <c r="H92" s="17">
        <v>25</v>
      </c>
      <c r="I92" s="17">
        <v>58.58</v>
      </c>
      <c r="J92" s="18">
        <v>2695</v>
      </c>
      <c r="L92" s="17">
        <v>25</v>
      </c>
      <c r="M92" s="17">
        <v>78.58</v>
      </c>
      <c r="N92" s="18">
        <v>4850</v>
      </c>
      <c r="P92" s="17">
        <v>20</v>
      </c>
      <c r="Q92" s="17">
        <v>27.2</v>
      </c>
      <c r="R92" s="18">
        <v>581</v>
      </c>
      <c r="T92" s="17">
        <v>20</v>
      </c>
      <c r="U92" s="17">
        <v>47.2</v>
      </c>
      <c r="V92" s="18">
        <v>1750</v>
      </c>
      <c r="X92" s="17">
        <v>20</v>
      </c>
      <c r="Y92" s="17">
        <v>67.2</v>
      </c>
      <c r="Z92" s="18">
        <v>3547</v>
      </c>
    </row>
    <row r="93" spans="4:30">
      <c r="D93" s="17">
        <v>30</v>
      </c>
      <c r="E93" s="24">
        <v>34</v>
      </c>
      <c r="F93" s="18">
        <f t="shared" si="0"/>
        <v>908</v>
      </c>
      <c r="H93" s="17">
        <v>30</v>
      </c>
      <c r="I93" s="17">
        <v>54</v>
      </c>
      <c r="J93" s="18">
        <v>2290</v>
      </c>
      <c r="L93" s="17">
        <v>30</v>
      </c>
      <c r="M93" s="17">
        <v>74</v>
      </c>
      <c r="N93" s="18">
        <v>4301</v>
      </c>
      <c r="P93" s="17">
        <v>25</v>
      </c>
      <c r="Q93" s="17">
        <v>34</v>
      </c>
      <c r="R93" s="18">
        <v>908</v>
      </c>
      <c r="T93" s="17">
        <v>25</v>
      </c>
      <c r="U93" s="17">
        <v>54</v>
      </c>
      <c r="V93" s="18">
        <v>2290</v>
      </c>
      <c r="X93" s="17">
        <v>25</v>
      </c>
      <c r="Y93" s="17">
        <v>74</v>
      </c>
      <c r="Z93" s="18">
        <v>4301</v>
      </c>
    </row>
    <row r="94" spans="4:30">
      <c r="D94" s="17">
        <v>40</v>
      </c>
      <c r="E94" s="17">
        <v>42.7</v>
      </c>
      <c r="F94" s="18">
        <f t="shared" si="0"/>
        <v>1432</v>
      </c>
      <c r="H94" s="17">
        <v>40</v>
      </c>
      <c r="I94" s="17">
        <v>62.7</v>
      </c>
      <c r="J94" s="18">
        <v>3088</v>
      </c>
      <c r="L94" s="17">
        <v>40</v>
      </c>
      <c r="M94" s="17">
        <v>82.7</v>
      </c>
      <c r="N94" s="18">
        <v>5372</v>
      </c>
      <c r="P94" s="17">
        <v>32</v>
      </c>
      <c r="Q94" s="17">
        <v>42.7</v>
      </c>
      <c r="R94" s="18">
        <v>1432</v>
      </c>
      <c r="T94" s="17">
        <v>32</v>
      </c>
      <c r="U94" s="17">
        <v>62.7</v>
      </c>
      <c r="V94" s="18">
        <v>3088</v>
      </c>
      <c r="X94" s="17">
        <v>32</v>
      </c>
      <c r="Y94" s="17">
        <v>82.7</v>
      </c>
      <c r="Z94" s="18">
        <v>5372</v>
      </c>
    </row>
    <row r="95" spans="4:30">
      <c r="D95" s="17">
        <v>50</v>
      </c>
      <c r="E95" s="17">
        <v>48.6</v>
      </c>
      <c r="F95" s="18">
        <f t="shared" si="0"/>
        <v>1855</v>
      </c>
      <c r="H95" s="17">
        <v>50</v>
      </c>
      <c r="I95" s="17">
        <v>68.599999999999994</v>
      </c>
      <c r="J95" s="18">
        <v>3696</v>
      </c>
      <c r="L95" s="17">
        <v>50</v>
      </c>
      <c r="M95" s="17">
        <v>88.6</v>
      </c>
      <c r="N95" s="18">
        <v>6165</v>
      </c>
      <c r="P95" s="17">
        <v>40</v>
      </c>
      <c r="Q95" s="17">
        <v>48.6</v>
      </c>
      <c r="R95" s="18">
        <v>1855</v>
      </c>
      <c r="T95" s="17">
        <v>40</v>
      </c>
      <c r="U95" s="17">
        <v>68.599999999999994</v>
      </c>
      <c r="V95" s="18">
        <v>3696</v>
      </c>
      <c r="X95" s="17">
        <v>40</v>
      </c>
      <c r="Y95" s="17">
        <v>88.6</v>
      </c>
      <c r="Z95" s="18">
        <v>6165</v>
      </c>
    </row>
    <row r="96" spans="4:30">
      <c r="D96" s="17">
        <v>60</v>
      </c>
      <c r="E96" s="17">
        <v>60.5</v>
      </c>
      <c r="F96" s="18">
        <f t="shared" si="0"/>
        <v>2875</v>
      </c>
      <c r="H96" s="17">
        <v>60</v>
      </c>
      <c r="I96" s="17">
        <v>80.5</v>
      </c>
      <c r="J96" s="18">
        <v>5090</v>
      </c>
      <c r="L96" s="17">
        <v>60</v>
      </c>
      <c r="M96" s="17">
        <v>100.5</v>
      </c>
      <c r="N96" s="18">
        <v>7933</v>
      </c>
      <c r="P96" s="17">
        <v>50</v>
      </c>
      <c r="Q96" s="17">
        <v>60.56</v>
      </c>
      <c r="R96" s="18">
        <v>2880</v>
      </c>
      <c r="T96" s="17">
        <v>50</v>
      </c>
      <c r="U96" s="17">
        <v>80.56</v>
      </c>
      <c r="V96" s="18">
        <v>5097</v>
      </c>
      <c r="X96" s="17">
        <v>50</v>
      </c>
      <c r="Y96" s="17">
        <v>100.56</v>
      </c>
      <c r="Z96" s="18">
        <v>7942</v>
      </c>
    </row>
    <row r="97" spans="4:26">
      <c r="D97" s="17">
        <v>75</v>
      </c>
      <c r="E97" s="17">
        <v>76.3</v>
      </c>
      <c r="F97" s="18">
        <f t="shared" si="0"/>
        <v>4572</v>
      </c>
      <c r="H97" s="17">
        <v>75</v>
      </c>
      <c r="I97" s="17">
        <v>96.3</v>
      </c>
      <c r="J97" s="18">
        <v>7284</v>
      </c>
      <c r="L97" s="17">
        <v>75</v>
      </c>
      <c r="M97" s="17">
        <v>116.3</v>
      </c>
      <c r="N97" s="18">
        <v>10623</v>
      </c>
      <c r="P97" s="17">
        <v>65</v>
      </c>
      <c r="Q97" s="17">
        <v>76.3</v>
      </c>
      <c r="R97" s="18">
        <v>4572</v>
      </c>
      <c r="T97" s="17">
        <v>65</v>
      </c>
      <c r="U97" s="17">
        <v>96.3</v>
      </c>
      <c r="V97" s="18">
        <v>7284</v>
      </c>
      <c r="X97" s="17">
        <v>65</v>
      </c>
      <c r="Y97" s="17">
        <v>116.3</v>
      </c>
      <c r="Z97" s="18">
        <v>10623</v>
      </c>
    </row>
    <row r="98" spans="4:26">
      <c r="D98" s="17">
        <v>80</v>
      </c>
      <c r="E98" s="17">
        <v>89.1</v>
      </c>
      <c r="F98" s="18">
        <f t="shared" si="0"/>
        <v>6235</v>
      </c>
      <c r="H98" s="17">
        <v>80</v>
      </c>
      <c r="I98" s="17">
        <v>109.1</v>
      </c>
      <c r="J98" s="18">
        <v>9348</v>
      </c>
      <c r="L98" s="17">
        <v>80</v>
      </c>
      <c r="M98" s="17">
        <v>129.1</v>
      </c>
      <c r="N98" s="18">
        <v>13090</v>
      </c>
      <c r="P98" s="17">
        <v>80</v>
      </c>
      <c r="Q98" s="17">
        <v>89.1</v>
      </c>
      <c r="R98" s="18">
        <v>6235</v>
      </c>
      <c r="T98" s="17">
        <v>80</v>
      </c>
      <c r="U98" s="17">
        <v>109.1</v>
      </c>
      <c r="V98" s="18">
        <v>9348</v>
      </c>
      <c r="X98" s="17">
        <v>80</v>
      </c>
      <c r="Y98" s="17">
        <v>129.1</v>
      </c>
      <c r="Z98" s="18">
        <v>13090</v>
      </c>
    </row>
    <row r="99" spans="4:26">
      <c r="D99" s="17">
        <v>100</v>
      </c>
      <c r="E99" s="17">
        <v>114.3</v>
      </c>
      <c r="F99" s="18">
        <f t="shared" si="0"/>
        <v>10261</v>
      </c>
      <c r="H99" s="17">
        <v>100</v>
      </c>
      <c r="I99" s="17">
        <v>134.30000000000001</v>
      </c>
      <c r="J99" s="18">
        <v>14166</v>
      </c>
      <c r="L99" s="17">
        <v>100</v>
      </c>
      <c r="M99" s="17">
        <v>154.30000000000001</v>
      </c>
      <c r="N99" s="18">
        <v>18699</v>
      </c>
      <c r="P99" s="17">
        <v>90</v>
      </c>
      <c r="Q99" s="17">
        <v>101.6</v>
      </c>
      <c r="R99" s="18">
        <v>8107</v>
      </c>
      <c r="T99" s="17">
        <v>90</v>
      </c>
      <c r="U99" s="17">
        <v>121.6</v>
      </c>
      <c r="V99" s="18">
        <v>11613</v>
      </c>
      <c r="X99" s="17">
        <v>90</v>
      </c>
      <c r="Y99" s="17">
        <v>141.6</v>
      </c>
      <c r="Z99" s="18">
        <v>15748</v>
      </c>
    </row>
    <row r="100" spans="4:26">
      <c r="P100" s="17">
        <v>100</v>
      </c>
      <c r="Q100" s="17">
        <v>114.3</v>
      </c>
      <c r="R100" s="18">
        <v>10261</v>
      </c>
      <c r="T100" s="17">
        <v>100</v>
      </c>
      <c r="U100" s="17">
        <v>134.30000000000001</v>
      </c>
      <c r="V100" s="18">
        <v>14166</v>
      </c>
      <c r="X100" s="17">
        <v>100</v>
      </c>
      <c r="Y100" s="17">
        <v>154.30000000000001</v>
      </c>
      <c r="Z100" s="18">
        <v>18699</v>
      </c>
    </row>
    <row r="102" spans="4:26">
      <c r="D102" s="22" t="s">
        <v>197</v>
      </c>
      <c r="H102" s="22" t="s">
        <v>204</v>
      </c>
      <c r="L102" s="22" t="s">
        <v>205</v>
      </c>
      <c r="P102" s="22" t="s">
        <v>200</v>
      </c>
      <c r="T102" s="22" t="s">
        <v>153</v>
      </c>
    </row>
    <row r="103" spans="4:26">
      <c r="D103" s="16" t="s">
        <v>111</v>
      </c>
      <c r="E103" s="19" t="s">
        <v>109</v>
      </c>
      <c r="F103" s="19" t="s">
        <v>110</v>
      </c>
      <c r="H103" s="16" t="s">
        <v>111</v>
      </c>
      <c r="I103" s="19" t="s">
        <v>109</v>
      </c>
      <c r="J103" s="19" t="s">
        <v>110</v>
      </c>
      <c r="L103" s="16" t="s">
        <v>111</v>
      </c>
      <c r="M103" s="19" t="s">
        <v>109</v>
      </c>
      <c r="N103" s="19" t="s">
        <v>110</v>
      </c>
      <c r="P103" s="16" t="s">
        <v>111</v>
      </c>
      <c r="Q103" s="19" t="s">
        <v>109</v>
      </c>
      <c r="R103" s="19" t="s">
        <v>110</v>
      </c>
      <c r="T103" s="102" t="s">
        <v>206</v>
      </c>
      <c r="U103" s="103"/>
      <c r="V103" s="103"/>
      <c r="W103" s="104"/>
    </row>
    <row r="104" spans="4:26">
      <c r="D104" s="17" t="s">
        <v>207</v>
      </c>
      <c r="E104" s="17">
        <v>12.7</v>
      </c>
      <c r="F104" s="18">
        <v>127</v>
      </c>
      <c r="H104" s="17" t="s">
        <v>207</v>
      </c>
      <c r="I104" s="17">
        <v>32.700000000000003</v>
      </c>
      <c r="J104" s="18">
        <v>840</v>
      </c>
      <c r="L104" s="17" t="s">
        <v>207</v>
      </c>
      <c r="M104" s="17">
        <v>52.7</v>
      </c>
      <c r="N104" s="18">
        <v>2181</v>
      </c>
      <c r="P104" s="17" t="s">
        <v>207</v>
      </c>
      <c r="Q104" s="17">
        <v>17.899999999999999</v>
      </c>
      <c r="R104" s="18">
        <v>252</v>
      </c>
      <c r="T104" s="102" t="s">
        <v>208</v>
      </c>
      <c r="U104" s="103"/>
      <c r="V104" s="103"/>
      <c r="W104" s="104"/>
    </row>
    <row r="105" spans="4:26">
      <c r="D105" s="17" t="s">
        <v>209</v>
      </c>
      <c r="E105" s="17">
        <v>15.88</v>
      </c>
      <c r="F105" s="18">
        <v>198</v>
      </c>
      <c r="H105" s="17" t="s">
        <v>209</v>
      </c>
      <c r="I105" s="17">
        <v>35.880000000000003</v>
      </c>
      <c r="J105" s="18">
        <v>1011</v>
      </c>
      <c r="L105" s="17" t="s">
        <v>209</v>
      </c>
      <c r="M105" s="17">
        <v>55.88</v>
      </c>
      <c r="N105" s="18">
        <v>2452</v>
      </c>
      <c r="P105" s="17" t="s">
        <v>209</v>
      </c>
      <c r="Q105" s="17">
        <v>21.48</v>
      </c>
      <c r="R105" s="18">
        <v>362</v>
      </c>
      <c r="T105" s="102" t="s">
        <v>210</v>
      </c>
      <c r="U105" s="103"/>
      <c r="V105" s="103"/>
      <c r="W105" s="104"/>
    </row>
    <row r="106" spans="4:26">
      <c r="D106" s="17" t="s">
        <v>211</v>
      </c>
      <c r="E106" s="17">
        <v>22.22</v>
      </c>
      <c r="F106" s="18">
        <v>388</v>
      </c>
      <c r="H106" s="17" t="s">
        <v>211</v>
      </c>
      <c r="I106" s="17">
        <v>42.22</v>
      </c>
      <c r="J106" s="18">
        <v>1400</v>
      </c>
      <c r="L106" s="17" t="s">
        <v>211</v>
      </c>
      <c r="M106" s="17">
        <v>62.22</v>
      </c>
      <c r="N106" s="18">
        <v>3041</v>
      </c>
      <c r="P106" s="17" t="s">
        <v>211</v>
      </c>
      <c r="Q106" s="17">
        <v>28.82</v>
      </c>
      <c r="R106" s="18">
        <v>652</v>
      </c>
      <c r="T106" s="102" t="s">
        <v>212</v>
      </c>
      <c r="U106" s="103"/>
      <c r="V106" s="103"/>
      <c r="W106" s="104"/>
    </row>
    <row r="107" spans="4:26">
      <c r="D107" s="17" t="s">
        <v>213</v>
      </c>
      <c r="E107" s="17">
        <v>28.58</v>
      </c>
      <c r="F107" s="18">
        <v>642</v>
      </c>
      <c r="H107" s="17" t="s">
        <v>213</v>
      </c>
      <c r="I107" s="17">
        <v>48.58</v>
      </c>
      <c r="J107" s="18">
        <v>1854</v>
      </c>
      <c r="L107" s="17" t="s">
        <v>213</v>
      </c>
      <c r="M107" s="17">
        <v>68.58</v>
      </c>
      <c r="N107" s="18">
        <v>3694</v>
      </c>
      <c r="P107" s="17" t="s">
        <v>213</v>
      </c>
      <c r="Q107" s="17">
        <v>36.979999999999997</v>
      </c>
      <c r="R107" s="18">
        <v>1074</v>
      </c>
      <c r="T107" s="102" t="s">
        <v>214</v>
      </c>
      <c r="U107" s="103"/>
      <c r="V107" s="103"/>
      <c r="W107" s="104"/>
    </row>
    <row r="108" spans="4:26">
      <c r="D108" s="17" t="s">
        <v>215</v>
      </c>
      <c r="E108" s="24">
        <v>34.92</v>
      </c>
      <c r="F108" s="18">
        <v>958</v>
      </c>
      <c r="H108" s="17" t="s">
        <v>215</v>
      </c>
      <c r="I108" s="17">
        <v>54.92</v>
      </c>
      <c r="J108" s="18">
        <v>2369</v>
      </c>
      <c r="L108" s="17" t="s">
        <v>215</v>
      </c>
      <c r="M108" s="17">
        <v>74.92</v>
      </c>
      <c r="N108" s="18">
        <v>4408</v>
      </c>
      <c r="T108" s="102" t="s">
        <v>216</v>
      </c>
      <c r="U108" s="103"/>
      <c r="V108" s="103"/>
      <c r="W108" s="104"/>
    </row>
    <row r="109" spans="4:26">
      <c r="D109" s="17" t="s">
        <v>217</v>
      </c>
      <c r="E109" s="17">
        <v>41.28</v>
      </c>
      <c r="F109" s="18">
        <v>1338</v>
      </c>
      <c r="H109" s="17" t="s">
        <v>217</v>
      </c>
      <c r="I109" s="17">
        <v>61.28</v>
      </c>
      <c r="J109" s="18">
        <v>2949</v>
      </c>
      <c r="L109" s="17" t="s">
        <v>217</v>
      </c>
      <c r="M109" s="17">
        <v>81.28</v>
      </c>
      <c r="N109" s="18">
        <v>5189</v>
      </c>
      <c r="T109" s="102" t="s">
        <v>173</v>
      </c>
      <c r="U109" s="103"/>
      <c r="V109" s="103"/>
      <c r="W109" s="104"/>
    </row>
    <row r="110" spans="4:26">
      <c r="D110" s="17" t="s">
        <v>218</v>
      </c>
      <c r="E110" s="17">
        <v>53.98</v>
      </c>
      <c r="F110" s="18">
        <v>2289</v>
      </c>
      <c r="H110" s="17" t="s">
        <v>218</v>
      </c>
      <c r="I110" s="17">
        <v>73.97999999999999</v>
      </c>
      <c r="J110" s="18">
        <v>4299</v>
      </c>
      <c r="L110" s="17" t="s">
        <v>218</v>
      </c>
      <c r="M110" s="17">
        <v>93.97999999999999</v>
      </c>
      <c r="N110" s="18">
        <v>6937</v>
      </c>
      <c r="T110" s="102" t="s">
        <v>219</v>
      </c>
      <c r="U110" s="103"/>
      <c r="V110" s="103"/>
      <c r="W110" s="104"/>
    </row>
    <row r="111" spans="4:26">
      <c r="T111" s="102" t="s">
        <v>375</v>
      </c>
      <c r="U111" s="103"/>
      <c r="V111" s="103"/>
      <c r="W111" s="104"/>
    </row>
    <row r="113" spans="4:27">
      <c r="D113" s="22" t="s">
        <v>122</v>
      </c>
      <c r="I113" s="22" t="s">
        <v>220</v>
      </c>
      <c r="M113" s="22" t="s">
        <v>221</v>
      </c>
      <c r="Q113" s="22" t="s">
        <v>222</v>
      </c>
      <c r="U113" s="22" t="s">
        <v>223</v>
      </c>
      <c r="Y113" s="22" t="s">
        <v>224</v>
      </c>
    </row>
    <row r="114" spans="4:27">
      <c r="D114" s="16" t="s">
        <v>108</v>
      </c>
      <c r="E114" s="19" t="s">
        <v>225</v>
      </c>
      <c r="F114" s="19" t="s">
        <v>226</v>
      </c>
      <c r="G114" s="16" t="s">
        <v>110</v>
      </c>
      <c r="I114" s="16" t="s">
        <v>108</v>
      </c>
      <c r="J114" s="19" t="s">
        <v>109</v>
      </c>
      <c r="K114" s="16" t="s">
        <v>110</v>
      </c>
      <c r="M114" s="16" t="s">
        <v>108</v>
      </c>
      <c r="N114" s="19" t="s">
        <v>109</v>
      </c>
      <c r="O114" s="16" t="s">
        <v>110</v>
      </c>
      <c r="Q114" s="16" t="s">
        <v>108</v>
      </c>
      <c r="R114" s="19" t="s">
        <v>109</v>
      </c>
      <c r="S114" s="16" t="s">
        <v>110</v>
      </c>
      <c r="U114" s="16" t="s">
        <v>108</v>
      </c>
      <c r="V114" s="19" t="s">
        <v>109</v>
      </c>
      <c r="W114" s="16" t="s">
        <v>110</v>
      </c>
      <c r="Y114" s="16" t="s">
        <v>108</v>
      </c>
      <c r="Z114" s="19" t="s">
        <v>109</v>
      </c>
      <c r="AA114" s="16" t="s">
        <v>110</v>
      </c>
    </row>
    <row r="115" spans="4:27">
      <c r="D115" s="17" t="s">
        <v>227</v>
      </c>
      <c r="E115" s="17">
        <v>6.2</v>
      </c>
      <c r="F115" s="17">
        <v>9.4</v>
      </c>
      <c r="G115" s="17">
        <v>46</v>
      </c>
      <c r="I115" s="17" t="s">
        <v>228</v>
      </c>
      <c r="J115" s="17">
        <v>6.6</v>
      </c>
      <c r="K115" s="18">
        <v>34</v>
      </c>
      <c r="M115" s="17" t="s">
        <v>229</v>
      </c>
      <c r="N115" s="17">
        <v>8.8000000000000007</v>
      </c>
      <c r="O115" s="18">
        <v>61</v>
      </c>
      <c r="Q115" s="17" t="s">
        <v>229</v>
      </c>
      <c r="R115" s="17">
        <v>10.4</v>
      </c>
      <c r="S115" s="18">
        <v>85</v>
      </c>
      <c r="U115" s="17" t="s">
        <v>229</v>
      </c>
      <c r="V115" s="17">
        <v>9</v>
      </c>
      <c r="W115" s="18">
        <v>64</v>
      </c>
      <c r="Y115" s="17" t="s">
        <v>230</v>
      </c>
      <c r="Z115" s="17">
        <v>6.4</v>
      </c>
      <c r="AA115" s="18">
        <v>32</v>
      </c>
    </row>
    <row r="116" spans="4:27">
      <c r="D116" s="17" t="s">
        <v>231</v>
      </c>
      <c r="E116" s="17">
        <v>6.2</v>
      </c>
      <c r="F116" s="17">
        <v>13</v>
      </c>
      <c r="G116" s="17">
        <v>63</v>
      </c>
      <c r="I116" s="17" t="s">
        <v>232</v>
      </c>
      <c r="J116" s="17">
        <v>7</v>
      </c>
      <c r="K116" s="18">
        <v>38</v>
      </c>
      <c r="M116" s="17" t="s">
        <v>232</v>
      </c>
      <c r="N116" s="17">
        <v>9.1999999999999993</v>
      </c>
      <c r="O116" s="18">
        <v>66</v>
      </c>
      <c r="Q116" s="17" t="s">
        <v>232</v>
      </c>
      <c r="R116" s="17">
        <v>10.9</v>
      </c>
      <c r="S116" s="18">
        <v>93</v>
      </c>
      <c r="U116" s="17" t="s">
        <v>232</v>
      </c>
      <c r="V116" s="17">
        <v>9.4</v>
      </c>
      <c r="W116" s="18">
        <v>69</v>
      </c>
      <c r="Y116" s="17" t="s">
        <v>233</v>
      </c>
      <c r="Z116" s="17">
        <v>10.5</v>
      </c>
      <c r="AA116" s="18">
        <v>87</v>
      </c>
    </row>
    <row r="117" spans="4:27">
      <c r="D117" s="17" t="s">
        <v>234</v>
      </c>
      <c r="E117" s="17">
        <v>6.2</v>
      </c>
      <c r="F117" s="17">
        <v>16</v>
      </c>
      <c r="G117" s="17">
        <v>78</v>
      </c>
      <c r="I117" s="17" t="s">
        <v>235</v>
      </c>
      <c r="J117" s="17">
        <v>7.6</v>
      </c>
      <c r="K117" s="18">
        <v>45</v>
      </c>
      <c r="M117" s="17" t="s">
        <v>235</v>
      </c>
      <c r="N117" s="17">
        <v>9.9</v>
      </c>
      <c r="O117" s="18">
        <v>77</v>
      </c>
      <c r="Q117" s="17" t="s">
        <v>235</v>
      </c>
      <c r="R117" s="17">
        <v>11.8</v>
      </c>
      <c r="S117" s="18">
        <v>109</v>
      </c>
      <c r="U117" s="17" t="s">
        <v>235</v>
      </c>
      <c r="V117" s="17">
        <v>11</v>
      </c>
      <c r="W117" s="18">
        <v>95</v>
      </c>
      <c r="Y117" s="17" t="s">
        <v>236</v>
      </c>
      <c r="Z117" s="17">
        <v>11</v>
      </c>
      <c r="AA117" s="18">
        <v>95</v>
      </c>
    </row>
    <row r="118" spans="4:27">
      <c r="D118" s="17" t="s">
        <v>237</v>
      </c>
      <c r="E118" s="17">
        <v>6.6</v>
      </c>
      <c r="F118" s="17">
        <v>10.5</v>
      </c>
      <c r="G118" s="17">
        <v>54</v>
      </c>
      <c r="I118" s="17" t="s">
        <v>238</v>
      </c>
      <c r="J118" s="17">
        <v>7.4</v>
      </c>
      <c r="K118" s="18">
        <v>43</v>
      </c>
      <c r="M118" s="17" t="s">
        <v>238</v>
      </c>
      <c r="N118" s="17">
        <v>9.6</v>
      </c>
      <c r="O118" s="18">
        <v>72</v>
      </c>
      <c r="Q118" s="17" t="s">
        <v>238</v>
      </c>
      <c r="R118" s="17">
        <v>11.2</v>
      </c>
      <c r="S118" s="18">
        <v>99</v>
      </c>
      <c r="U118" s="17" t="s">
        <v>238</v>
      </c>
      <c r="V118" s="17">
        <v>9.8000000000000007</v>
      </c>
      <c r="W118" s="18">
        <v>75</v>
      </c>
      <c r="Y118" s="17" t="s">
        <v>239</v>
      </c>
      <c r="Z118" s="17">
        <v>12</v>
      </c>
      <c r="AA118" s="18">
        <v>113</v>
      </c>
    </row>
    <row r="119" spans="4:27">
      <c r="D119" s="17" t="s">
        <v>240</v>
      </c>
      <c r="E119" s="17">
        <v>6.6</v>
      </c>
      <c r="F119" s="17">
        <v>14</v>
      </c>
      <c r="G119" s="17">
        <v>73</v>
      </c>
      <c r="I119" s="17" t="s">
        <v>241</v>
      </c>
      <c r="J119" s="17">
        <v>7.8</v>
      </c>
      <c r="K119" s="18">
        <v>48</v>
      </c>
      <c r="M119" s="17" t="s">
        <v>241</v>
      </c>
      <c r="N119" s="17">
        <v>10.1</v>
      </c>
      <c r="O119" s="18">
        <v>80</v>
      </c>
      <c r="Q119" s="17" t="s">
        <v>241</v>
      </c>
      <c r="R119" s="17">
        <v>11.8</v>
      </c>
      <c r="S119" s="18">
        <v>109</v>
      </c>
      <c r="U119" s="17" t="s">
        <v>241</v>
      </c>
      <c r="V119" s="17">
        <v>10.5</v>
      </c>
      <c r="W119" s="18">
        <v>87</v>
      </c>
      <c r="Y119" s="17" t="s">
        <v>242</v>
      </c>
      <c r="Z119" s="17">
        <v>7</v>
      </c>
      <c r="AA119" s="18">
        <v>38</v>
      </c>
    </row>
    <row r="120" spans="4:27">
      <c r="D120" s="17" t="s">
        <v>243</v>
      </c>
      <c r="E120" s="17">
        <v>6.6</v>
      </c>
      <c r="F120" s="17">
        <v>17.5</v>
      </c>
      <c r="G120" s="17">
        <v>91</v>
      </c>
      <c r="I120" s="17" t="s">
        <v>244</v>
      </c>
      <c r="J120" s="17">
        <v>8.5</v>
      </c>
      <c r="K120" s="18">
        <v>57</v>
      </c>
      <c r="M120" s="17" t="s">
        <v>244</v>
      </c>
      <c r="N120" s="17">
        <v>11.1</v>
      </c>
      <c r="O120" s="18">
        <v>97</v>
      </c>
      <c r="Q120" s="17" t="s">
        <v>244</v>
      </c>
      <c r="R120" s="17">
        <v>13</v>
      </c>
      <c r="S120" s="18">
        <v>133</v>
      </c>
      <c r="U120" s="17" t="s">
        <v>244</v>
      </c>
      <c r="V120" s="17">
        <v>11.5</v>
      </c>
      <c r="W120" s="18">
        <v>104</v>
      </c>
      <c r="Y120" s="17" t="s">
        <v>245</v>
      </c>
      <c r="Z120" s="17">
        <v>11.5</v>
      </c>
      <c r="AA120" s="18">
        <v>104</v>
      </c>
    </row>
    <row r="121" spans="4:27">
      <c r="D121" s="17" t="s">
        <v>246</v>
      </c>
      <c r="E121" s="17">
        <v>7.6</v>
      </c>
      <c r="F121" s="17">
        <v>12.5</v>
      </c>
      <c r="G121" s="17">
        <v>75</v>
      </c>
      <c r="I121" s="17" t="s">
        <v>237</v>
      </c>
      <c r="J121" s="17">
        <v>8</v>
      </c>
      <c r="K121" s="18">
        <v>50</v>
      </c>
      <c r="M121" s="17" t="s">
        <v>237</v>
      </c>
      <c r="N121" s="17">
        <v>10.4</v>
      </c>
      <c r="O121" s="18">
        <v>85</v>
      </c>
      <c r="Q121" s="17" t="s">
        <v>237</v>
      </c>
      <c r="R121" s="17">
        <v>11.8</v>
      </c>
      <c r="S121" s="18">
        <v>109</v>
      </c>
      <c r="U121" s="17" t="s">
        <v>237</v>
      </c>
      <c r="V121" s="17">
        <v>11</v>
      </c>
      <c r="W121" s="18">
        <v>95</v>
      </c>
      <c r="Y121" s="17" t="s">
        <v>247</v>
      </c>
      <c r="Z121" s="17">
        <v>12.5</v>
      </c>
      <c r="AA121" s="18">
        <v>123</v>
      </c>
    </row>
    <row r="122" spans="4:27">
      <c r="D122" s="17" t="s">
        <v>248</v>
      </c>
      <c r="E122" s="17">
        <v>7.6</v>
      </c>
      <c r="F122" s="17">
        <v>17</v>
      </c>
      <c r="G122" s="17">
        <v>101</v>
      </c>
      <c r="I122" s="17" t="s">
        <v>240</v>
      </c>
      <c r="J122" s="17">
        <v>8.5</v>
      </c>
      <c r="K122" s="18">
        <v>57</v>
      </c>
      <c r="M122" s="17" t="s">
        <v>240</v>
      </c>
      <c r="N122" s="17">
        <v>10.9</v>
      </c>
      <c r="O122" s="18">
        <v>93</v>
      </c>
      <c r="Q122" s="17" t="s">
        <v>240</v>
      </c>
      <c r="R122" s="17">
        <v>12.6</v>
      </c>
      <c r="S122" s="18">
        <v>125</v>
      </c>
      <c r="U122" s="17" t="s">
        <v>240</v>
      </c>
      <c r="V122" s="17">
        <v>11.5</v>
      </c>
      <c r="W122" s="18">
        <v>104</v>
      </c>
      <c r="Y122" s="17" t="s">
        <v>249</v>
      </c>
      <c r="Z122" s="17">
        <v>13.5</v>
      </c>
      <c r="AA122" s="18">
        <v>143</v>
      </c>
    </row>
    <row r="123" spans="4:27">
      <c r="D123" s="17" t="s">
        <v>250</v>
      </c>
      <c r="E123" s="17">
        <v>8</v>
      </c>
      <c r="F123" s="17">
        <v>13</v>
      </c>
      <c r="G123" s="17">
        <v>82</v>
      </c>
      <c r="I123" s="17" t="s">
        <v>243</v>
      </c>
      <c r="J123" s="17">
        <v>9.3000000000000007</v>
      </c>
      <c r="K123" s="18">
        <v>68</v>
      </c>
      <c r="M123" s="17" t="s">
        <v>243</v>
      </c>
      <c r="N123" s="17">
        <v>11.8</v>
      </c>
      <c r="O123" s="18">
        <v>109</v>
      </c>
      <c r="Q123" s="17" t="s">
        <v>243</v>
      </c>
      <c r="R123" s="17">
        <v>13.9</v>
      </c>
      <c r="S123" s="18">
        <v>152</v>
      </c>
      <c r="U123" s="17" t="s">
        <v>243</v>
      </c>
      <c r="V123" s="17">
        <v>12.5</v>
      </c>
      <c r="W123" s="18">
        <v>123</v>
      </c>
      <c r="Y123" s="17" t="s">
        <v>251</v>
      </c>
      <c r="Z123" s="17">
        <v>8</v>
      </c>
      <c r="AA123" s="18">
        <v>50</v>
      </c>
    </row>
    <row r="124" spans="4:27">
      <c r="D124" s="17" t="s">
        <v>252</v>
      </c>
      <c r="E124" s="17">
        <v>8</v>
      </c>
      <c r="F124" s="17">
        <v>18</v>
      </c>
      <c r="G124" s="17">
        <v>113</v>
      </c>
      <c r="M124" s="17" t="s">
        <v>253</v>
      </c>
      <c r="N124" s="17">
        <v>11.8</v>
      </c>
      <c r="O124" s="18">
        <v>109</v>
      </c>
      <c r="Q124" s="17" t="s">
        <v>253</v>
      </c>
      <c r="R124" s="17">
        <v>13.4</v>
      </c>
      <c r="S124" s="18">
        <v>141</v>
      </c>
      <c r="U124" s="17" t="s">
        <v>253</v>
      </c>
      <c r="V124" s="17">
        <v>12.5</v>
      </c>
      <c r="W124" s="18">
        <v>123</v>
      </c>
      <c r="Y124" s="17" t="s">
        <v>250</v>
      </c>
      <c r="Z124" s="17">
        <v>13.5</v>
      </c>
      <c r="AA124" s="18">
        <v>143</v>
      </c>
    </row>
    <row r="125" spans="4:27">
      <c r="D125" s="17" t="s">
        <v>254</v>
      </c>
      <c r="E125" s="17">
        <v>9</v>
      </c>
      <c r="F125" s="17">
        <v>15</v>
      </c>
      <c r="G125" s="17">
        <v>106</v>
      </c>
      <c r="M125" s="17" t="s">
        <v>255</v>
      </c>
      <c r="N125" s="17">
        <v>12.6</v>
      </c>
      <c r="O125" s="18">
        <v>125</v>
      </c>
      <c r="Q125" s="17" t="s">
        <v>255</v>
      </c>
      <c r="R125" s="17">
        <v>14.3</v>
      </c>
      <c r="S125" s="18">
        <v>161</v>
      </c>
      <c r="U125" s="17" t="s">
        <v>255</v>
      </c>
      <c r="V125" s="17">
        <v>13</v>
      </c>
      <c r="W125" s="18">
        <v>133</v>
      </c>
      <c r="Y125" s="17" t="s">
        <v>252</v>
      </c>
      <c r="Z125" s="17">
        <v>14.5</v>
      </c>
      <c r="AA125" s="18">
        <v>165</v>
      </c>
    </row>
    <row r="126" spans="4:27">
      <c r="D126" s="17" t="s">
        <v>256</v>
      </c>
      <c r="E126" s="17">
        <v>9</v>
      </c>
      <c r="F126" s="17">
        <v>21</v>
      </c>
      <c r="G126" s="17">
        <v>148</v>
      </c>
      <c r="M126" s="17" t="s">
        <v>257</v>
      </c>
      <c r="N126" s="17">
        <v>13.9</v>
      </c>
      <c r="O126" s="18">
        <v>152</v>
      </c>
      <c r="Q126" s="17" t="s">
        <v>257</v>
      </c>
      <c r="R126" s="17">
        <v>15.8</v>
      </c>
      <c r="S126" s="18">
        <v>196</v>
      </c>
      <c r="U126" s="17" t="s">
        <v>257</v>
      </c>
      <c r="V126" s="17">
        <v>14.5</v>
      </c>
      <c r="W126" s="18">
        <v>165</v>
      </c>
      <c r="Y126" s="17" t="s">
        <v>258</v>
      </c>
      <c r="Z126" s="17">
        <v>16</v>
      </c>
      <c r="AA126" s="18">
        <v>201</v>
      </c>
    </row>
    <row r="127" spans="4:27">
      <c r="M127" s="17" t="s">
        <v>259</v>
      </c>
      <c r="N127" s="17">
        <v>14.2</v>
      </c>
      <c r="O127" s="18">
        <v>158</v>
      </c>
      <c r="Q127" s="17" t="s">
        <v>259</v>
      </c>
      <c r="R127" s="17">
        <v>14.8</v>
      </c>
      <c r="S127" s="18">
        <v>172</v>
      </c>
      <c r="U127" s="17" t="s">
        <v>259</v>
      </c>
      <c r="V127" s="17">
        <v>14.5</v>
      </c>
      <c r="W127" s="18">
        <v>165</v>
      </c>
      <c r="Y127" s="17" t="s">
        <v>260</v>
      </c>
      <c r="Z127" s="17">
        <v>8.6</v>
      </c>
      <c r="AA127" s="18">
        <v>58</v>
      </c>
    </row>
    <row r="128" spans="4:27">
      <c r="M128" s="17" t="s">
        <v>261</v>
      </c>
      <c r="N128" s="17">
        <v>15</v>
      </c>
      <c r="O128" s="18">
        <v>177</v>
      </c>
      <c r="Q128" s="17" t="s">
        <v>261</v>
      </c>
      <c r="R128" s="17">
        <v>15.8</v>
      </c>
      <c r="S128" s="18">
        <v>196</v>
      </c>
      <c r="U128" s="17" t="s">
        <v>261</v>
      </c>
      <c r="V128" s="17">
        <v>15.5</v>
      </c>
      <c r="W128" s="18">
        <v>189</v>
      </c>
      <c r="Y128" s="17" t="s">
        <v>262</v>
      </c>
      <c r="Z128" s="17">
        <v>15</v>
      </c>
      <c r="AA128" s="18">
        <v>177</v>
      </c>
    </row>
    <row r="129" spans="4:27">
      <c r="M129" s="17" t="s">
        <v>263</v>
      </c>
      <c r="N129" s="17">
        <v>16.5</v>
      </c>
      <c r="O129" s="18">
        <v>214</v>
      </c>
      <c r="Q129" s="17" t="s">
        <v>263</v>
      </c>
      <c r="R129" s="17">
        <v>17.399999999999999</v>
      </c>
      <c r="S129" s="18">
        <v>238</v>
      </c>
      <c r="U129" s="17" t="s">
        <v>263</v>
      </c>
      <c r="V129" s="17">
        <v>17</v>
      </c>
      <c r="W129" s="18">
        <v>227</v>
      </c>
      <c r="Y129" s="17" t="s">
        <v>264</v>
      </c>
      <c r="Z129" s="17">
        <v>16</v>
      </c>
      <c r="AA129" s="18">
        <v>201</v>
      </c>
    </row>
    <row r="130" spans="4:27">
      <c r="M130" s="17" t="s">
        <v>265</v>
      </c>
      <c r="N130" s="17">
        <v>16.399999999999999</v>
      </c>
      <c r="O130" s="18">
        <v>211</v>
      </c>
      <c r="Q130" s="17" t="s">
        <v>265</v>
      </c>
      <c r="R130" s="17">
        <v>16.2</v>
      </c>
      <c r="S130" s="18">
        <v>206</v>
      </c>
      <c r="U130" s="17" t="s">
        <v>265</v>
      </c>
      <c r="V130" s="17">
        <v>16</v>
      </c>
      <c r="W130" s="18">
        <v>201</v>
      </c>
      <c r="Y130" s="17" t="s">
        <v>266</v>
      </c>
      <c r="Z130" s="17">
        <v>17</v>
      </c>
      <c r="AA130" s="18">
        <v>227</v>
      </c>
    </row>
    <row r="131" spans="4:27">
      <c r="M131" s="17" t="s">
        <v>267</v>
      </c>
      <c r="N131" s="17">
        <v>17.600000000000001</v>
      </c>
      <c r="O131" s="18">
        <v>243</v>
      </c>
      <c r="Q131" s="17" t="s">
        <v>267</v>
      </c>
      <c r="R131" s="17">
        <v>17.3</v>
      </c>
      <c r="S131" s="18">
        <v>235</v>
      </c>
      <c r="U131" s="17" t="s">
        <v>267</v>
      </c>
      <c r="V131" s="17">
        <v>17</v>
      </c>
      <c r="W131" s="18">
        <v>227</v>
      </c>
      <c r="Y131" s="17" t="s">
        <v>268</v>
      </c>
      <c r="Z131" s="17">
        <v>9.4</v>
      </c>
      <c r="AA131" s="18">
        <v>69</v>
      </c>
    </row>
    <row r="132" spans="4:27">
      <c r="M132" s="17" t="s">
        <v>269</v>
      </c>
      <c r="N132" s="17">
        <v>19.3</v>
      </c>
      <c r="O132" s="18">
        <v>293</v>
      </c>
      <c r="Q132" s="17" t="s">
        <v>269</v>
      </c>
      <c r="R132" s="17">
        <v>19.100000000000001</v>
      </c>
      <c r="S132" s="18">
        <v>287</v>
      </c>
      <c r="U132" s="17" t="s">
        <v>269</v>
      </c>
      <c r="V132" s="17">
        <v>18.5</v>
      </c>
      <c r="W132" s="18">
        <v>269</v>
      </c>
      <c r="Y132" s="17" t="s">
        <v>270</v>
      </c>
      <c r="Z132" s="17">
        <v>16.5</v>
      </c>
      <c r="AA132" s="18">
        <v>214</v>
      </c>
    </row>
    <row r="133" spans="4:27">
      <c r="U133" s="17" t="s">
        <v>271</v>
      </c>
      <c r="V133" s="17">
        <v>18.5</v>
      </c>
      <c r="W133" s="18">
        <v>269</v>
      </c>
      <c r="Y133" s="17" t="s">
        <v>272</v>
      </c>
      <c r="Z133" s="17">
        <v>17.5</v>
      </c>
      <c r="AA133" s="18">
        <v>241</v>
      </c>
    </row>
    <row r="134" spans="4:27">
      <c r="D134" s="22" t="s">
        <v>273</v>
      </c>
      <c r="H134" s="22" t="s">
        <v>274</v>
      </c>
      <c r="L134" s="22" t="s">
        <v>275</v>
      </c>
      <c r="U134" s="17" t="s">
        <v>276</v>
      </c>
      <c r="V134" s="17">
        <v>20</v>
      </c>
      <c r="W134" s="18">
        <v>314</v>
      </c>
      <c r="Y134" s="17" t="s">
        <v>277</v>
      </c>
      <c r="Z134" s="17">
        <v>19</v>
      </c>
      <c r="AA134" s="18">
        <v>284</v>
      </c>
    </row>
    <row r="135" spans="4:27">
      <c r="D135" s="16" t="s">
        <v>108</v>
      </c>
      <c r="E135" s="19" t="s">
        <v>109</v>
      </c>
      <c r="F135" s="16" t="s">
        <v>110</v>
      </c>
      <c r="H135" s="16" t="s">
        <v>108</v>
      </c>
      <c r="I135" s="19" t="s">
        <v>109</v>
      </c>
      <c r="J135" s="16" t="s">
        <v>110</v>
      </c>
      <c r="L135" s="16" t="s">
        <v>108</v>
      </c>
      <c r="M135" s="19" t="s">
        <v>109</v>
      </c>
      <c r="N135" s="16" t="s">
        <v>110</v>
      </c>
      <c r="Y135" s="17" t="s">
        <v>278</v>
      </c>
      <c r="Z135" s="17">
        <v>11</v>
      </c>
      <c r="AA135" s="18">
        <v>95</v>
      </c>
    </row>
    <row r="136" spans="4:27">
      <c r="D136" s="17" t="s">
        <v>279</v>
      </c>
      <c r="E136" s="17">
        <v>17.5</v>
      </c>
      <c r="F136" s="18">
        <v>241</v>
      </c>
      <c r="H136" s="17" t="s">
        <v>280</v>
      </c>
      <c r="I136" s="17">
        <v>19</v>
      </c>
      <c r="J136" s="18">
        <v>284</v>
      </c>
      <c r="L136" s="17" t="s">
        <v>277</v>
      </c>
      <c r="M136" s="17">
        <v>23</v>
      </c>
      <c r="N136" s="18">
        <v>415</v>
      </c>
      <c r="Y136" s="17" t="s">
        <v>281</v>
      </c>
      <c r="Z136" s="17">
        <v>19.5</v>
      </c>
      <c r="AA136" s="18">
        <v>299</v>
      </c>
    </row>
    <row r="137" spans="4:27">
      <c r="D137" s="17" t="s">
        <v>270</v>
      </c>
      <c r="E137" s="17">
        <v>19</v>
      </c>
      <c r="F137" s="18">
        <v>284</v>
      </c>
      <c r="H137" s="17" t="s">
        <v>272</v>
      </c>
      <c r="I137" s="17">
        <v>21</v>
      </c>
      <c r="J137" s="18">
        <v>346</v>
      </c>
      <c r="L137" s="17" t="s">
        <v>282</v>
      </c>
      <c r="M137" s="17">
        <v>27</v>
      </c>
      <c r="N137" s="18">
        <v>573</v>
      </c>
      <c r="Y137" s="17" t="s">
        <v>283</v>
      </c>
      <c r="Z137" s="17">
        <v>13</v>
      </c>
      <c r="AA137" s="18">
        <v>133</v>
      </c>
    </row>
    <row r="138" spans="4:27">
      <c r="D138" s="17" t="s">
        <v>284</v>
      </c>
      <c r="E138" s="17">
        <v>22</v>
      </c>
      <c r="F138" s="18">
        <v>380</v>
      </c>
      <c r="H138" s="17" t="s">
        <v>285</v>
      </c>
      <c r="I138" s="17">
        <v>24</v>
      </c>
      <c r="J138" s="18">
        <v>452</v>
      </c>
      <c r="L138" s="17" t="s">
        <v>286</v>
      </c>
      <c r="M138" s="17">
        <v>31</v>
      </c>
      <c r="N138" s="18">
        <v>755</v>
      </c>
      <c r="Y138" s="17" t="s">
        <v>287</v>
      </c>
      <c r="Z138" s="17">
        <v>15.5</v>
      </c>
      <c r="AA138" s="18">
        <v>189</v>
      </c>
    </row>
    <row r="139" spans="4:27">
      <c r="D139" s="17" t="s">
        <v>288</v>
      </c>
      <c r="E139" s="17">
        <v>26</v>
      </c>
      <c r="F139" s="18">
        <v>531</v>
      </c>
      <c r="H139" s="17" t="s">
        <v>289</v>
      </c>
      <c r="I139" s="17">
        <v>28</v>
      </c>
      <c r="J139" s="18">
        <v>616</v>
      </c>
      <c r="L139" s="17" t="s">
        <v>290</v>
      </c>
      <c r="M139" s="17">
        <v>37</v>
      </c>
      <c r="N139" s="18">
        <v>1075</v>
      </c>
      <c r="Y139" s="17" t="s">
        <v>291</v>
      </c>
      <c r="Z139" s="17">
        <v>19</v>
      </c>
      <c r="AA139" s="18">
        <v>284</v>
      </c>
    </row>
    <row r="140" spans="4:27">
      <c r="D140" s="17" t="s">
        <v>292</v>
      </c>
      <c r="E140" s="17">
        <v>31</v>
      </c>
      <c r="F140" s="18">
        <v>755</v>
      </c>
      <c r="H140" s="17" t="s">
        <v>293</v>
      </c>
      <c r="I140" s="17">
        <v>33</v>
      </c>
      <c r="J140" s="18">
        <v>855</v>
      </c>
      <c r="L140" s="17" t="s">
        <v>294</v>
      </c>
      <c r="M140" s="17">
        <v>46</v>
      </c>
      <c r="N140" s="18">
        <v>1662</v>
      </c>
    </row>
    <row r="141" spans="4:27">
      <c r="D141" s="17" t="s">
        <v>295</v>
      </c>
      <c r="E141" s="17">
        <v>38</v>
      </c>
      <c r="F141" s="18">
        <v>1134</v>
      </c>
      <c r="H141" s="17" t="s">
        <v>296</v>
      </c>
      <c r="I141" s="17">
        <v>41</v>
      </c>
      <c r="J141" s="18">
        <v>1320</v>
      </c>
      <c r="L141" s="17" t="s">
        <v>297</v>
      </c>
      <c r="M141" s="17">
        <v>53</v>
      </c>
      <c r="N141" s="18">
        <v>2206</v>
      </c>
    </row>
    <row r="142" spans="4:27">
      <c r="D142" s="17" t="s">
        <v>298</v>
      </c>
      <c r="E142" s="17">
        <v>44</v>
      </c>
      <c r="F142" s="18">
        <v>1521</v>
      </c>
      <c r="H142" s="17" t="s">
        <v>299</v>
      </c>
      <c r="I142" s="17">
        <v>47</v>
      </c>
      <c r="J142" s="18">
        <v>1735</v>
      </c>
      <c r="L142" s="17" t="s">
        <v>300</v>
      </c>
      <c r="M142" s="17">
        <v>61</v>
      </c>
      <c r="N142" s="18">
        <v>2922</v>
      </c>
    </row>
    <row r="143" spans="4:27">
      <c r="D143" s="17" t="s">
        <v>301</v>
      </c>
      <c r="E143" s="17">
        <v>51</v>
      </c>
      <c r="F143" s="18">
        <v>2043</v>
      </c>
      <c r="H143" s="17" t="s">
        <v>302</v>
      </c>
      <c r="I143" s="17">
        <v>55</v>
      </c>
      <c r="J143" s="18">
        <v>2376</v>
      </c>
      <c r="L143" s="17" t="s">
        <v>303</v>
      </c>
      <c r="M143" s="17">
        <v>67</v>
      </c>
      <c r="N143" s="18">
        <v>3526</v>
      </c>
    </row>
    <row r="144" spans="4:27">
      <c r="D144" s="17" t="s">
        <v>304</v>
      </c>
      <c r="E144" s="17">
        <v>55</v>
      </c>
      <c r="F144" s="18">
        <v>2376</v>
      </c>
      <c r="H144" s="17" t="s">
        <v>305</v>
      </c>
      <c r="I144" s="17">
        <v>60</v>
      </c>
      <c r="J144" s="18">
        <v>2827</v>
      </c>
      <c r="L144" s="17" t="s">
        <v>306</v>
      </c>
      <c r="M144" s="17">
        <v>74</v>
      </c>
      <c r="N144" s="18">
        <v>4301</v>
      </c>
    </row>
    <row r="145" spans="4:19">
      <c r="D145" s="17" t="s">
        <v>307</v>
      </c>
      <c r="E145" s="17">
        <v>61</v>
      </c>
      <c r="F145" s="18">
        <v>2922</v>
      </c>
      <c r="H145" s="17" t="s">
        <v>308</v>
      </c>
      <c r="I145" s="17">
        <v>66</v>
      </c>
      <c r="J145" s="18">
        <v>3421</v>
      </c>
    </row>
    <row r="146" spans="4:19">
      <c r="H146" s="17" t="s">
        <v>309</v>
      </c>
      <c r="I146" s="17">
        <v>72</v>
      </c>
      <c r="J146" s="18">
        <v>4072</v>
      </c>
    </row>
    <row r="148" spans="4:19">
      <c r="D148" s="22" t="s">
        <v>310</v>
      </c>
      <c r="I148" s="22" t="s">
        <v>311</v>
      </c>
      <c r="M148" s="22" t="s">
        <v>312</v>
      </c>
      <c r="Q148" s="22" t="s">
        <v>152</v>
      </c>
    </row>
    <row r="149" spans="4:19">
      <c r="D149" s="16" t="s">
        <v>108</v>
      </c>
      <c r="E149" s="19" t="s">
        <v>225</v>
      </c>
      <c r="F149" s="19" t="s">
        <v>226</v>
      </c>
      <c r="G149" s="16" t="s">
        <v>110</v>
      </c>
      <c r="I149" s="16" t="s">
        <v>108</v>
      </c>
      <c r="J149" s="19" t="s">
        <v>109</v>
      </c>
      <c r="K149" s="16" t="s">
        <v>110</v>
      </c>
      <c r="M149" s="16" t="s">
        <v>108</v>
      </c>
      <c r="N149" s="19" t="s">
        <v>109</v>
      </c>
      <c r="O149" s="16" t="s">
        <v>110</v>
      </c>
      <c r="Q149" s="16" t="s">
        <v>108</v>
      </c>
      <c r="R149" s="19" t="s">
        <v>109</v>
      </c>
      <c r="S149" s="16" t="s">
        <v>110</v>
      </c>
    </row>
    <row r="150" spans="4:19">
      <c r="D150" s="17" t="s">
        <v>227</v>
      </c>
      <c r="E150" s="17">
        <v>6.2</v>
      </c>
      <c r="F150" s="17">
        <v>9.4</v>
      </c>
      <c r="G150" s="17">
        <v>46</v>
      </c>
      <c r="I150" s="17" t="s">
        <v>313</v>
      </c>
      <c r="J150" s="17">
        <v>6.6</v>
      </c>
      <c r="K150" s="18">
        <v>34</v>
      </c>
      <c r="M150" s="17" t="s">
        <v>313</v>
      </c>
      <c r="N150" s="17">
        <v>7</v>
      </c>
      <c r="O150" s="18">
        <v>38</v>
      </c>
      <c r="Q150" s="17" t="s">
        <v>314</v>
      </c>
      <c r="R150" s="17">
        <v>5.3</v>
      </c>
      <c r="S150" s="18">
        <v>22</v>
      </c>
    </row>
    <row r="151" spans="4:19">
      <c r="D151" s="17" t="s">
        <v>231</v>
      </c>
      <c r="E151" s="17">
        <v>6.2</v>
      </c>
      <c r="F151" s="17">
        <v>13</v>
      </c>
      <c r="G151" s="17">
        <v>63</v>
      </c>
      <c r="I151" s="17" t="s">
        <v>315</v>
      </c>
      <c r="J151" s="17">
        <v>7.9</v>
      </c>
      <c r="K151" s="18">
        <v>49</v>
      </c>
      <c r="M151" s="17" t="s">
        <v>315</v>
      </c>
      <c r="N151" s="17">
        <v>8.3000000000000007</v>
      </c>
      <c r="O151" s="18">
        <v>54</v>
      </c>
      <c r="Q151" s="17" t="s">
        <v>316</v>
      </c>
      <c r="R151" s="17">
        <v>7.3</v>
      </c>
      <c r="S151" s="18">
        <v>42</v>
      </c>
    </row>
    <row r="152" spans="4:19">
      <c r="D152" s="17" t="s">
        <v>234</v>
      </c>
      <c r="E152" s="17">
        <v>6.2</v>
      </c>
      <c r="F152" s="17">
        <v>16</v>
      </c>
      <c r="G152" s="17">
        <v>78</v>
      </c>
      <c r="I152" s="17" t="s">
        <v>317</v>
      </c>
      <c r="J152" s="17">
        <v>11</v>
      </c>
      <c r="K152" s="18">
        <v>95</v>
      </c>
      <c r="M152" s="17" t="s">
        <v>318</v>
      </c>
      <c r="N152" s="17">
        <v>9.1</v>
      </c>
      <c r="O152" s="18">
        <v>65</v>
      </c>
      <c r="Q152" s="17" t="s">
        <v>319</v>
      </c>
      <c r="R152" s="17">
        <v>10.4</v>
      </c>
      <c r="S152" s="18">
        <v>85</v>
      </c>
    </row>
    <row r="153" spans="4:19">
      <c r="D153" s="17" t="s">
        <v>237</v>
      </c>
      <c r="E153" s="17">
        <v>6.6</v>
      </c>
      <c r="F153" s="17">
        <v>10.5</v>
      </c>
      <c r="G153" s="17">
        <v>54</v>
      </c>
      <c r="I153" s="17" t="s">
        <v>320</v>
      </c>
      <c r="J153" s="17">
        <v>12.5</v>
      </c>
      <c r="K153" s="18">
        <v>123</v>
      </c>
      <c r="M153" s="17" t="s">
        <v>317</v>
      </c>
      <c r="N153" s="17">
        <v>11</v>
      </c>
      <c r="O153" s="18">
        <v>95</v>
      </c>
      <c r="Q153" s="17" t="s">
        <v>321</v>
      </c>
      <c r="R153" s="17">
        <v>12.9</v>
      </c>
      <c r="S153" s="18">
        <v>131</v>
      </c>
    </row>
    <row r="154" spans="4:19">
      <c r="D154" s="17" t="s">
        <v>240</v>
      </c>
      <c r="E154" s="17">
        <v>6.6</v>
      </c>
      <c r="F154" s="17">
        <v>14</v>
      </c>
      <c r="G154" s="17">
        <v>73</v>
      </c>
      <c r="I154" s="17" t="s">
        <v>322</v>
      </c>
      <c r="J154" s="17">
        <v>15</v>
      </c>
      <c r="K154" s="18">
        <v>177</v>
      </c>
      <c r="M154" s="17" t="s">
        <v>320</v>
      </c>
      <c r="N154" s="17">
        <v>13</v>
      </c>
      <c r="O154" s="18">
        <v>133</v>
      </c>
      <c r="Q154" s="17" t="s">
        <v>323</v>
      </c>
      <c r="R154" s="17">
        <v>7.3</v>
      </c>
      <c r="S154" s="18">
        <v>42</v>
      </c>
    </row>
    <row r="155" spans="4:19">
      <c r="D155" s="17" t="s">
        <v>243</v>
      </c>
      <c r="E155" s="17">
        <v>6.6</v>
      </c>
      <c r="F155" s="17">
        <v>17.5</v>
      </c>
      <c r="G155" s="17">
        <v>91</v>
      </c>
      <c r="I155" s="17" t="s">
        <v>324</v>
      </c>
      <c r="J155" s="17">
        <v>17</v>
      </c>
      <c r="K155" s="18">
        <v>227</v>
      </c>
      <c r="M155" s="17" t="s">
        <v>322</v>
      </c>
      <c r="N155" s="17">
        <v>15.5</v>
      </c>
      <c r="O155" s="18">
        <v>189</v>
      </c>
      <c r="Q155" s="17" t="s">
        <v>325</v>
      </c>
      <c r="R155" s="17">
        <v>11.1</v>
      </c>
      <c r="S155" s="18">
        <v>97</v>
      </c>
    </row>
    <row r="156" spans="4:19">
      <c r="D156" s="17" t="s">
        <v>246</v>
      </c>
      <c r="E156" s="17">
        <v>7.6</v>
      </c>
      <c r="F156" s="17">
        <v>12.5</v>
      </c>
      <c r="G156" s="17">
        <v>75</v>
      </c>
      <c r="I156" s="17" t="s">
        <v>326</v>
      </c>
      <c r="J156" s="17">
        <v>7.7</v>
      </c>
      <c r="K156" s="18">
        <v>47</v>
      </c>
      <c r="M156" s="17" t="s">
        <v>324</v>
      </c>
      <c r="N156" s="17">
        <v>17.5</v>
      </c>
      <c r="O156" s="18">
        <v>241</v>
      </c>
      <c r="Q156" s="17" t="s">
        <v>327</v>
      </c>
      <c r="R156" s="17">
        <v>13.1</v>
      </c>
      <c r="S156" s="18">
        <v>135</v>
      </c>
    </row>
    <row r="157" spans="4:19">
      <c r="D157" s="17" t="s">
        <v>248</v>
      </c>
      <c r="E157" s="17">
        <v>7.6</v>
      </c>
      <c r="F157" s="17">
        <v>17</v>
      </c>
      <c r="G157" s="17">
        <v>101</v>
      </c>
      <c r="I157" s="17" t="s">
        <v>328</v>
      </c>
      <c r="J157" s="17">
        <v>9.1999999999999993</v>
      </c>
      <c r="K157" s="18">
        <v>66</v>
      </c>
      <c r="M157" s="17" t="s">
        <v>326</v>
      </c>
      <c r="N157" s="17">
        <v>8.1</v>
      </c>
      <c r="O157" s="18">
        <v>52</v>
      </c>
    </row>
    <row r="158" spans="4:19">
      <c r="I158" s="17" t="s">
        <v>329</v>
      </c>
      <c r="J158" s="17">
        <v>12.5</v>
      </c>
      <c r="K158" s="18">
        <v>123</v>
      </c>
      <c r="M158" s="17" t="s">
        <v>328</v>
      </c>
      <c r="N158" s="17">
        <v>9.6</v>
      </c>
      <c r="O158" s="18">
        <v>72</v>
      </c>
    </row>
    <row r="159" spans="4:19">
      <c r="I159" s="17" t="s">
        <v>330</v>
      </c>
      <c r="J159" s="17">
        <v>15</v>
      </c>
      <c r="K159" s="18">
        <v>177</v>
      </c>
      <c r="M159" s="17" t="s">
        <v>331</v>
      </c>
      <c r="N159" s="17">
        <v>11</v>
      </c>
      <c r="O159" s="18">
        <v>95</v>
      </c>
    </row>
    <row r="160" spans="4:19">
      <c r="I160" s="17" t="s">
        <v>332</v>
      </c>
      <c r="J160" s="17">
        <v>18</v>
      </c>
      <c r="K160" s="18">
        <v>254</v>
      </c>
      <c r="M160" s="17" t="s">
        <v>329</v>
      </c>
      <c r="N160" s="17">
        <v>13</v>
      </c>
      <c r="O160" s="18">
        <v>133</v>
      </c>
    </row>
    <row r="161" spans="9:15">
      <c r="I161" s="17" t="s">
        <v>333</v>
      </c>
      <c r="J161" s="17">
        <v>21</v>
      </c>
      <c r="K161" s="18">
        <v>346</v>
      </c>
      <c r="M161" s="17" t="s">
        <v>330</v>
      </c>
      <c r="N161" s="17">
        <v>15</v>
      </c>
      <c r="O161" s="18">
        <v>177</v>
      </c>
    </row>
    <row r="162" spans="9:15">
      <c r="M162" s="17" t="s">
        <v>332</v>
      </c>
      <c r="N162" s="17">
        <v>18</v>
      </c>
      <c r="O162" s="18">
        <v>254</v>
      </c>
    </row>
    <row r="163" spans="9:15">
      <c r="M163" s="17" t="s">
        <v>333</v>
      </c>
      <c r="N163" s="17">
        <v>21</v>
      </c>
      <c r="O163" s="18">
        <v>346</v>
      </c>
    </row>
  </sheetData>
  <mergeCells count="9">
    <mergeCell ref="T111:W111"/>
    <mergeCell ref="T109:W109"/>
    <mergeCell ref="T110:W110"/>
    <mergeCell ref="T103:W103"/>
    <mergeCell ref="T104:W104"/>
    <mergeCell ref="T105:W105"/>
    <mergeCell ref="T106:W106"/>
    <mergeCell ref="T107:W107"/>
    <mergeCell ref="T108:W108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EF41FBE6FFE8448657118F5029D8D4" ma:contentTypeVersion="12" ma:contentTypeDescription="新しいドキュメントを作成します。" ma:contentTypeScope="" ma:versionID="90ac61ddb9f419655c1c28e1512dbb5d">
  <xsd:schema xmlns:xsd="http://www.w3.org/2001/XMLSchema" xmlns:xs="http://www.w3.org/2001/XMLSchema" xmlns:p="http://schemas.microsoft.com/office/2006/metadata/properties" xmlns:ns3="3e57a737-9500-4dd9-a3cf-28dfe38435e0" targetNamespace="http://schemas.microsoft.com/office/2006/metadata/properties" ma:root="true" ma:fieldsID="b87c3e324ee82bfa8dfaf8dbc8f7e6a1" ns3:_="">
    <xsd:import namespace="3e57a737-9500-4dd9-a3cf-28dfe38435e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Location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a737-9500-4dd9-a3cf-28dfe38435e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7a737-9500-4dd9-a3cf-28dfe38435e0" xsi:nil="true"/>
  </documentManagement>
</p:properties>
</file>

<file path=customXml/itemProps1.xml><?xml version="1.0" encoding="utf-8"?>
<ds:datastoreItem xmlns:ds="http://schemas.openxmlformats.org/officeDocument/2006/customXml" ds:itemID="{B2517194-4A29-49B8-AFC1-0D128F5BB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7a737-9500-4dd9-a3cf-28dfe384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0F6B0-9E6E-4F07-9F39-36D4A9C77B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46F41-9B4E-453D-8C08-78EE2E29AEAB}">
  <ds:schemaRefs>
    <ds:schemaRef ds:uri="http://www.w3.org/XML/1998/namespace"/>
    <ds:schemaRef ds:uri="http://purl.org/dc/terms/"/>
    <ds:schemaRef ds:uri="3e57a737-9500-4dd9-a3cf-28dfe38435e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93</vt:i4>
      </vt:variant>
    </vt:vector>
  </HeadingPairs>
  <TitlesOfParts>
    <vt:vector size="97" baseType="lpstr">
      <vt:lpstr>選定表</vt:lpstr>
      <vt:lpstr>認定</vt:lpstr>
      <vt:lpstr>認定配管</vt:lpstr>
      <vt:lpstr>配管</vt:lpstr>
      <vt:lpstr>CD管</vt:lpstr>
      <vt:lpstr>CV_600V</vt:lpstr>
      <vt:lpstr>CV_6600V</vt:lpstr>
      <vt:lpstr>CVD_600V</vt:lpstr>
      <vt:lpstr>CVQ_600V</vt:lpstr>
      <vt:lpstr>CVT_600V</vt:lpstr>
      <vt:lpstr>CVT_6600V</vt:lpstr>
      <vt:lpstr>EM_600V_CE_F</vt:lpstr>
      <vt:lpstr>EM_600V_CED_F</vt:lpstr>
      <vt:lpstr>EM_600V_CEQ_F</vt:lpstr>
      <vt:lpstr>EM_600V_CET_F</vt:lpstr>
      <vt:lpstr>EM_600V_EEF_F</vt:lpstr>
      <vt:lpstr>EM_6600V_CE_F</vt:lpstr>
      <vt:lpstr>EM_6600V_CET_F</vt:lpstr>
      <vt:lpstr>EM_IE_F</vt:lpstr>
      <vt:lpstr>FEP</vt:lpstr>
      <vt:lpstr>HT</vt:lpstr>
      <vt:lpstr>HT_10㎜保温</vt:lpstr>
      <vt:lpstr>HT_20㎜保温</vt:lpstr>
      <vt:lpstr>IV</vt:lpstr>
      <vt:lpstr>MFX</vt:lpstr>
      <vt:lpstr>PERT_10㎜保温</vt:lpstr>
      <vt:lpstr>PERT_5㎜保温</vt:lpstr>
      <vt:lpstr>PF管</vt:lpstr>
      <vt:lpstr>選定表!Print_Area</vt:lpstr>
      <vt:lpstr>選定表!Print_Titles</vt:lpstr>
      <vt:lpstr>SGP</vt:lpstr>
      <vt:lpstr>SGP_10㎜保温</vt:lpstr>
      <vt:lpstr>SGP_20㎜保温</vt:lpstr>
      <vt:lpstr>SU</vt:lpstr>
      <vt:lpstr>SU_10㎜保温</vt:lpstr>
      <vt:lpstr>SU_20㎜保温</vt:lpstr>
      <vt:lpstr>VE管</vt:lpstr>
      <vt:lpstr>VP</vt:lpstr>
      <vt:lpstr>VP_10㎜保温</vt:lpstr>
      <vt:lpstr>VP_20㎜保温</vt:lpstr>
      <vt:lpstr>VU</vt:lpstr>
      <vt:lpstr>VU_10㎜保温</vt:lpstr>
      <vt:lpstr>VU_20㎜保温</vt:lpstr>
      <vt:lpstr>VVF_600V</vt:lpstr>
      <vt:lpstr>アルミニウム管_10㎜保温</vt:lpstr>
      <vt:lpstr>アルミニウム管_20㎜保温</vt:lpstr>
      <vt:lpstr>アルミニウム管_8㎜保温</vt:lpstr>
      <vt:lpstr>エラストマー被覆架橋ポリエチレン管</vt:lpstr>
      <vt:lpstr>ケーブル断面積</vt:lpstr>
      <vt:lpstr>コルゲート付ポリブデン管</vt:lpstr>
      <vt:lpstr>さや管</vt:lpstr>
      <vt:lpstr>さや管_10㎜保温</vt:lpstr>
      <vt:lpstr>さや管_5㎜保温</vt:lpstr>
      <vt:lpstr>ステンレス鋼管</vt:lpstr>
      <vt:lpstr>ステンレス鋼管_保温10㎜</vt:lpstr>
      <vt:lpstr>ステンレス鋼管_保温20㎜</vt:lpstr>
      <vt:lpstr>ドレンホース</vt:lpstr>
      <vt:lpstr>ポリブテン管_10㎜保温</vt:lpstr>
      <vt:lpstr>ポリブテン管_20㎜保温</vt:lpstr>
      <vt:lpstr>ポリブテン管_5㎜保温</vt:lpstr>
      <vt:lpstr>マシンフレキ</vt:lpstr>
      <vt:lpstr>リサイクル硬質塩ビ三層管</vt:lpstr>
      <vt:lpstr>架橋ポリエチレン管_10㎜保温</vt:lpstr>
      <vt:lpstr>架橋ポリエチレン管_20㎜保温</vt:lpstr>
      <vt:lpstr>架橋ポリエチレン管_5㎜保温</vt:lpstr>
      <vt:lpstr>金属強化ポリエチレン管</vt:lpstr>
      <vt:lpstr>金属強化ポリエチレン管_10㎜保温</vt:lpstr>
      <vt:lpstr>金属強化ポリエチレン管_20㎜保温</vt:lpstr>
      <vt:lpstr>金属製可とう電線管</vt:lpstr>
      <vt:lpstr>結露防止層付ドレンパイプ</vt:lpstr>
      <vt:lpstr>厚鋼電線管</vt:lpstr>
      <vt:lpstr>高耐熱フッ素樹脂ホース_10㎜保温</vt:lpstr>
      <vt:lpstr>床_スリーブあり</vt:lpstr>
      <vt:lpstr>床_スリーブなし_ALC</vt:lpstr>
      <vt:lpstr>床_スリーブなし_RC</vt:lpstr>
      <vt:lpstr>断熱ドレンホース</vt:lpstr>
      <vt:lpstr>中空壁</vt:lpstr>
      <vt:lpstr>中空壁_床置工法</vt:lpstr>
      <vt:lpstr>同軸</vt:lpstr>
      <vt:lpstr>銅管_10㎜保温</vt:lpstr>
      <vt:lpstr>銅管_20㎜保温</vt:lpstr>
      <vt:lpstr>銅管_8㎜保温</vt:lpstr>
      <vt:lpstr>銅管_建築・水道用</vt:lpstr>
      <vt:lpstr>銅管_建築・水道用_保温10㎜</vt:lpstr>
      <vt:lpstr>銅管_建築・水道用_保温20㎜</vt:lpstr>
      <vt:lpstr>二層架橋ポリエチレン管_20㎜保温</vt:lpstr>
      <vt:lpstr>二層架橋ポリエチレン管_5㎜保温</vt:lpstr>
      <vt:lpstr>配管</vt:lpstr>
      <vt:lpstr>配管断面積</vt:lpstr>
      <vt:lpstr>薄鋼_ねじなし電線管</vt:lpstr>
      <vt:lpstr>被覆銅管_建築・水道用</vt:lpstr>
      <vt:lpstr>壁</vt:lpstr>
      <vt:lpstr>壁_床置工法</vt:lpstr>
      <vt:lpstr>片面壁</vt:lpstr>
      <vt:lpstr>片面壁_床置工法</vt:lpstr>
      <vt:lpstr>冷媒管</vt:lpstr>
      <vt:lpstr>冷媒管断面積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香西信宏</dc:creator>
  <cp:keywords/>
  <dc:description/>
  <cp:lastModifiedBy>香西 信宏</cp:lastModifiedBy>
  <cp:revision/>
  <cp:lastPrinted>2026-04-21T22:57:06Z</cp:lastPrinted>
  <dcterms:created xsi:type="dcterms:W3CDTF">2023-10-30T21:49:29Z</dcterms:created>
  <dcterms:modified xsi:type="dcterms:W3CDTF">2026-05-26T10:09:51Z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0x01010063EF41FBE6FFE8448657118F5029D8D4</vt:lpwstr>
  </property>
</Properties>
</file>